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kimbe\Downloads\"/>
    </mc:Choice>
  </mc:AlternateContent>
  <xr:revisionPtr revIDLastSave="0" documentId="8_{56EED94E-A353-4B9B-8367-21EE5E8E570F}" xr6:coauthVersionLast="45" xr6:coauthVersionMax="45" xr10:uidLastSave="{00000000-0000-0000-0000-000000000000}"/>
  <bookViews>
    <workbookView xWindow="390" yWindow="390" windowWidth="17220" windowHeight="9810" firstSheet="3" activeTab="8" xr2:uid="{00000000-000D-0000-FFFF-FFFF00000000}"/>
  </bookViews>
  <sheets>
    <sheet name="Instructions" sheetId="27" r:id="rId1"/>
    <sheet name="CAP Score Card" sheetId="26" r:id="rId2"/>
    <sheet name="GHG Inventory" sheetId="24" r:id="rId3"/>
    <sheet name="Facility Master List" sheetId="7" r:id="rId4"/>
    <sheet name="Energy Provider Accounts" sheetId="3" r:id="rId5"/>
    <sheet name="Fleet Fuel Data" sheetId="14" r:id="rId6"/>
    <sheet name="Tank.Other.Fuels" sheetId="18" r:id="rId7"/>
    <sheet name="Central Hudson Data" sheetId="23" r:id="rId8"/>
    <sheet name="Factors and Sources" sheetId="25" r:id="rId9"/>
    <sheet name="US EIA Emission Factors" sheetId="28" r:id="rId10"/>
  </sheets>
  <definedNames>
    <definedName name="_xlnm._FilterDatabase" localSheetId="1" hidden="1">'CAP Score Card'!$B$14:$E$14</definedName>
    <definedName name="_xlnm._FilterDatabase" localSheetId="7" hidden="1">'Central Hudson Data'!$A$1:$R$1</definedName>
    <definedName name="_xlnm._FilterDatabase" localSheetId="4" hidden="1">'Energy Provider Accounts'!$B$6:$J$6</definedName>
    <definedName name="_xlnm._FilterDatabase" localSheetId="3" hidden="1">'Facility Master List'!$A$6:$L$18</definedName>
    <definedName name="_xlnm._FilterDatabase" localSheetId="5" hidden="1">'Fleet Fuel Data'!$F$3:$J$3</definedName>
    <definedName name="_xlnm._FilterDatabase" localSheetId="2" hidden="1">'GHG Inventory'!$B$29:$BF$32</definedName>
    <definedName name="_Hlk22291869" localSheetId="2">'GHG Inventory'!$E$68</definedName>
    <definedName name="_Hlk516745026" localSheetId="2">'GHG Inventory'!$E$70</definedName>
    <definedName name="_Hlk516745039" localSheetId="2">'GHG Inventory'!$E$69</definedName>
    <definedName name="_xlnm.Print_Area" localSheetId="3">'Facility Master List'!$A$3:$E$18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5" i="23" l="1"/>
  <c r="S305" i="23"/>
  <c r="S265" i="23"/>
  <c r="S264" i="23"/>
  <c r="P202" i="23"/>
  <c r="S202" i="23" s="1"/>
  <c r="P201" i="23"/>
  <c r="S201" i="23" s="1"/>
  <c r="B364" i="23" l="1"/>
  <c r="S358" i="23"/>
  <c r="S357" i="23"/>
  <c r="B235" i="23"/>
  <c r="B234" i="23"/>
  <c r="B233" i="23"/>
  <c r="B232" i="23"/>
  <c r="B231" i="23"/>
  <c r="B230" i="23"/>
  <c r="B229" i="23"/>
  <c r="B228" i="23"/>
  <c r="B227" i="23"/>
  <c r="B226" i="23"/>
  <c r="B225" i="23"/>
  <c r="B224" i="23"/>
  <c r="B276" i="23"/>
  <c r="B275" i="23"/>
  <c r="B274" i="23"/>
  <c r="B273" i="23"/>
  <c r="B272" i="23"/>
  <c r="B271" i="23"/>
  <c r="B270" i="23"/>
  <c r="B269" i="23"/>
  <c r="B268" i="23"/>
  <c r="B267" i="23"/>
  <c r="B266" i="23"/>
  <c r="B265" i="23"/>
  <c r="B264" i="23"/>
  <c r="B236" i="23"/>
  <c r="B223" i="23"/>
  <c r="B222" i="23"/>
  <c r="B221" i="23"/>
  <c r="B220" i="23"/>
  <c r="B219" i="23"/>
  <c r="B218" i="23"/>
  <c r="B217" i="23"/>
  <c r="B216" i="23"/>
  <c r="B215" i="23"/>
  <c r="B214" i="23"/>
  <c r="B213" i="23"/>
  <c r="B316" i="23"/>
  <c r="B314" i="23"/>
  <c r="B313" i="23"/>
  <c r="B312" i="23"/>
  <c r="B311" i="23"/>
  <c r="B310" i="23"/>
  <c r="B309" i="23"/>
  <c r="B308" i="23"/>
  <c r="B307" i="23"/>
  <c r="B306" i="23"/>
  <c r="B305" i="23"/>
  <c r="B304" i="23"/>
  <c r="P412" i="23"/>
  <c r="S412" i="23" s="1"/>
  <c r="B412" i="23"/>
  <c r="P356" i="23"/>
  <c r="S356" i="23" s="1"/>
  <c r="P355" i="23"/>
  <c r="S355" i="23" s="1"/>
  <c r="P354" i="23"/>
  <c r="S354" i="23" s="1"/>
  <c r="P353" i="23"/>
  <c r="S353" i="23" s="1"/>
  <c r="B363" i="23"/>
  <c r="B362" i="23"/>
  <c r="B361" i="23"/>
  <c r="B360" i="23"/>
  <c r="B359" i="23"/>
  <c r="B358" i="23"/>
  <c r="B357" i="23"/>
  <c r="B356" i="23"/>
  <c r="B355" i="23"/>
  <c r="B354" i="23"/>
  <c r="B353" i="23"/>
  <c r="P411" i="23" l="1"/>
  <c r="S411" i="23" s="1"/>
  <c r="P410" i="23"/>
  <c r="S410" i="23" s="1"/>
  <c r="P409" i="23"/>
  <c r="S409" i="23" s="1"/>
  <c r="P408" i="23"/>
  <c r="S408" i="23" s="1"/>
  <c r="P407" i="23"/>
  <c r="S407" i="23" s="1"/>
  <c r="P406" i="23"/>
  <c r="S406" i="23" s="1"/>
  <c r="P405" i="23"/>
  <c r="S405" i="23" s="1"/>
  <c r="P404" i="23"/>
  <c r="S404" i="23" s="1"/>
  <c r="P403" i="23"/>
  <c r="S403" i="23" s="1"/>
  <c r="P402" i="23"/>
  <c r="S402" i="23" s="1"/>
  <c r="P401" i="23"/>
  <c r="S401" i="23" s="1"/>
  <c r="B411" i="23"/>
  <c r="B410" i="23"/>
  <c r="B409" i="23"/>
  <c r="B408" i="23"/>
  <c r="B407" i="23"/>
  <c r="B406" i="23"/>
  <c r="B405" i="23"/>
  <c r="B404" i="23"/>
  <c r="B403" i="23"/>
  <c r="B402" i="23"/>
  <c r="B401" i="23"/>
  <c r="P460" i="23"/>
  <c r="S460" i="23" s="1"/>
  <c r="P49" i="23"/>
  <c r="S49" i="23" s="1"/>
  <c r="P48" i="23"/>
  <c r="S48" i="23" s="1"/>
  <c r="P459" i="23"/>
  <c r="S459" i="23" s="1"/>
  <c r="B131" i="23"/>
  <c r="B172" i="23"/>
  <c r="B171" i="23"/>
  <c r="P458" i="23"/>
  <c r="S458" i="23" s="1"/>
  <c r="P47" i="23"/>
  <c r="S47" i="23" s="1"/>
  <c r="B91" i="23"/>
  <c r="B90" i="23"/>
  <c r="B89" i="23"/>
  <c r="P46" i="23" l="1"/>
  <c r="S46" i="23" s="1"/>
  <c r="P457" i="23"/>
  <c r="S457" i="23" s="1"/>
  <c r="P45" i="23"/>
  <c r="S45" i="23" s="1"/>
  <c r="P456" i="23"/>
  <c r="S456" i="23" s="1"/>
  <c r="P44" i="23"/>
  <c r="S44" i="23" s="1"/>
  <c r="P455" i="23"/>
  <c r="S455" i="23" s="1"/>
  <c r="S84" i="23"/>
  <c r="P454" i="23"/>
  <c r="S454" i="23" s="1"/>
  <c r="P43" i="23"/>
  <c r="S43" i="23"/>
  <c r="P42" i="23"/>
  <c r="S42" i="23" s="1"/>
  <c r="P453" i="23"/>
  <c r="S453" i="23" s="1"/>
  <c r="B500" i="23" l="1"/>
  <c r="B499" i="23"/>
  <c r="B498" i="23"/>
  <c r="B497" i="23"/>
  <c r="B496" i="23"/>
  <c r="B495" i="23"/>
  <c r="B494" i="23"/>
  <c r="B493" i="23"/>
  <c r="B492" i="23"/>
  <c r="B491" i="23"/>
  <c r="B490" i="23"/>
  <c r="B489" i="23"/>
  <c r="B488" i="23"/>
  <c r="P452" i="23"/>
  <c r="S452" i="23" s="1"/>
  <c r="P451" i="23"/>
  <c r="S451" i="23" s="1"/>
  <c r="P450" i="23"/>
  <c r="S450" i="23" s="1"/>
  <c r="P449" i="23"/>
  <c r="S449" i="23" s="1"/>
  <c r="B460" i="23"/>
  <c r="B459" i="23"/>
  <c r="B458" i="23"/>
  <c r="B457" i="23"/>
  <c r="B456" i="23"/>
  <c r="B455" i="23"/>
  <c r="B454" i="23"/>
  <c r="B453" i="23"/>
  <c r="B452" i="23"/>
  <c r="B451" i="23"/>
  <c r="B450" i="23"/>
  <c r="B449" i="23"/>
  <c r="B212" i="23"/>
  <c r="B211" i="23"/>
  <c r="B210" i="23"/>
  <c r="B209" i="23"/>
  <c r="B208" i="23"/>
  <c r="B207" i="23"/>
  <c r="B206" i="23"/>
  <c r="B205" i="23"/>
  <c r="B204" i="23"/>
  <c r="B203" i="23"/>
  <c r="B202" i="23"/>
  <c r="B201" i="23"/>
  <c r="S162" i="23"/>
  <c r="S161" i="23"/>
  <c r="S160" i="23" l="1"/>
  <c r="B173" i="23"/>
  <c r="B170" i="23"/>
  <c r="B169" i="23"/>
  <c r="B168" i="23"/>
  <c r="B167" i="23"/>
  <c r="B166" i="23"/>
  <c r="B165" i="23"/>
  <c r="B164" i="23"/>
  <c r="B163" i="23"/>
  <c r="B162" i="23"/>
  <c r="B161" i="23"/>
  <c r="B160" i="23"/>
  <c r="S123" i="23"/>
  <c r="S122" i="23"/>
  <c r="P121" i="23"/>
  <c r="S121" i="23" s="1"/>
  <c r="P120" i="23"/>
  <c r="S120" i="23" s="1"/>
  <c r="B132" i="23"/>
  <c r="B130" i="23"/>
  <c r="B129" i="23"/>
  <c r="B128" i="23"/>
  <c r="B127" i="23"/>
  <c r="B126" i="23"/>
  <c r="B125" i="23"/>
  <c r="B124" i="23"/>
  <c r="B123" i="23"/>
  <c r="B122" i="23"/>
  <c r="B121" i="23"/>
  <c r="B120" i="23"/>
  <c r="S83" i="23"/>
  <c r="P82" i="23"/>
  <c r="S82" i="23" s="1"/>
  <c r="P81" i="23"/>
  <c r="S81" i="23" s="1"/>
  <c r="P80" i="23"/>
  <c r="S80" i="23" s="1"/>
  <c r="P79" i="23"/>
  <c r="S79" i="23" s="1"/>
  <c r="P78" i="23"/>
  <c r="S78" i="23" s="1"/>
  <c r="B92" i="23"/>
  <c r="B87" i="23"/>
  <c r="B86" i="23"/>
  <c r="B85" i="23"/>
  <c r="B84" i="23"/>
  <c r="B83" i="23"/>
  <c r="B82" i="23"/>
  <c r="B81" i="23"/>
  <c r="B80" i="23"/>
  <c r="B79" i="23"/>
  <c r="B78" i="23"/>
  <c r="P41" i="23"/>
  <c r="S41" i="23" s="1"/>
  <c r="P40" i="23"/>
  <c r="S40" i="23" s="1"/>
  <c r="B50" i="23" l="1"/>
  <c r="B49" i="23"/>
  <c r="B48" i="23"/>
  <c r="B47" i="23"/>
  <c r="B46" i="23"/>
  <c r="B45" i="23"/>
  <c r="B44" i="23"/>
  <c r="B43" i="23"/>
  <c r="B42" i="23"/>
  <c r="B41" i="23"/>
  <c r="B40" i="23"/>
  <c r="P39" i="23" l="1"/>
  <c r="S39" i="23" s="1"/>
  <c r="B39" i="23"/>
  <c r="P38" i="23"/>
  <c r="S38" i="23" s="1"/>
  <c r="B38" i="23"/>
  <c r="B51" i="23" l="1"/>
  <c r="P51" i="23"/>
  <c r="S51" i="23" s="1"/>
  <c r="B52" i="23"/>
  <c r="P52" i="23"/>
  <c r="S52" i="23" s="1"/>
  <c r="B53" i="23"/>
  <c r="P53" i="23"/>
  <c r="S53" i="23" s="1"/>
  <c r="B54" i="23"/>
  <c r="P54" i="23"/>
  <c r="S54" i="23" s="1"/>
  <c r="B55" i="23"/>
  <c r="P55" i="23"/>
  <c r="S55" i="23" s="1"/>
  <c r="B56" i="23"/>
  <c r="P56" i="23"/>
  <c r="S56" i="23" s="1"/>
  <c r="B57" i="23"/>
  <c r="P57" i="23"/>
  <c r="S57" i="23" s="1"/>
  <c r="B58" i="23"/>
  <c r="P58" i="23"/>
  <c r="S58" i="23" s="1"/>
  <c r="B59" i="23"/>
  <c r="P59" i="23"/>
  <c r="S59" i="23" s="1"/>
  <c r="B60" i="23"/>
  <c r="P60" i="23"/>
  <c r="S60" i="23" s="1"/>
  <c r="B711" i="23" l="1"/>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S488" i="23"/>
  <c r="S489" i="23"/>
  <c r="S491" i="23"/>
  <c r="S492" i="23"/>
  <c r="S493" i="23"/>
  <c r="P494" i="23"/>
  <c r="S494" i="23" s="1"/>
  <c r="S495" i="23"/>
  <c r="P496" i="23"/>
  <c r="S496" i="23" s="1"/>
  <c r="P497" i="23"/>
  <c r="S497" i="23" s="1"/>
  <c r="P498" i="23"/>
  <c r="S498" i="23" s="1"/>
  <c r="P499" i="23"/>
  <c r="S499" i="23" s="1"/>
  <c r="P500" i="23"/>
  <c r="P501" i="23"/>
  <c r="S501" i="23" s="1"/>
  <c r="P502" i="23"/>
  <c r="S502" i="23" s="1"/>
  <c r="P503" i="23"/>
  <c r="S503" i="23" s="1"/>
  <c r="P504" i="23"/>
  <c r="S504" i="23" s="1"/>
  <c r="P505" i="23"/>
  <c r="S505" i="23" s="1"/>
  <c r="P506" i="23"/>
  <c r="S506" i="23" s="1"/>
  <c r="P507" i="23"/>
  <c r="S507" i="23" s="1"/>
  <c r="P508" i="23"/>
  <c r="S508" i="23" s="1"/>
  <c r="P509" i="23"/>
  <c r="S509" i="23" s="1"/>
  <c r="P510" i="23"/>
  <c r="S510" i="23" s="1"/>
  <c r="P511" i="23"/>
  <c r="S511" i="23" s="1"/>
  <c r="P512" i="23"/>
  <c r="S512" i="23" s="1"/>
  <c r="P513" i="23"/>
  <c r="S513" i="23" s="1"/>
  <c r="P514" i="23"/>
  <c r="S514" i="23" s="1"/>
  <c r="P515" i="23"/>
  <c r="S515" i="23" s="1"/>
  <c r="P516" i="23"/>
  <c r="S516" i="23" s="1"/>
  <c r="P517" i="23"/>
  <c r="S517" i="23" s="1"/>
  <c r="P518" i="23"/>
  <c r="S518" i="23" s="1"/>
  <c r="P519" i="23"/>
  <c r="S519" i="23" s="1"/>
  <c r="P520" i="23"/>
  <c r="S520" i="23" s="1"/>
  <c r="P521" i="23"/>
  <c r="S521" i="23" s="1"/>
  <c r="P522" i="23"/>
  <c r="S522" i="23" s="1"/>
  <c r="P523" i="23"/>
  <c r="S523" i="23" s="1"/>
  <c r="P524" i="23"/>
  <c r="S524" i="23" s="1"/>
  <c r="P525" i="23"/>
  <c r="S525" i="23" s="1"/>
  <c r="P526" i="23"/>
  <c r="S526" i="23" s="1"/>
  <c r="P527" i="23"/>
  <c r="S527" i="23" s="1"/>
  <c r="P528" i="23"/>
  <c r="S528" i="23" s="1"/>
  <c r="P529" i="23"/>
  <c r="S529" i="23" s="1"/>
  <c r="P530" i="23"/>
  <c r="S530" i="23" s="1"/>
  <c r="P531" i="23"/>
  <c r="S531" i="23" s="1"/>
  <c r="P532" i="23"/>
  <c r="S532" i="23" s="1"/>
  <c r="P533" i="23"/>
  <c r="S533" i="23" s="1"/>
  <c r="P534" i="23"/>
  <c r="S534" i="23" s="1"/>
  <c r="P535" i="23"/>
  <c r="S535" i="23" s="1"/>
  <c r="P536" i="23"/>
  <c r="S536" i="23" s="1"/>
  <c r="P537" i="23"/>
  <c r="S537" i="23" s="1"/>
  <c r="P538" i="23"/>
  <c r="S538" i="23" s="1"/>
  <c r="P539" i="23"/>
  <c r="S539" i="23" s="1"/>
  <c r="P540" i="23"/>
  <c r="S540" i="23" s="1"/>
  <c r="P541" i="23"/>
  <c r="S541" i="23" s="1"/>
  <c r="P542" i="23"/>
  <c r="S542" i="23" s="1"/>
  <c r="P543" i="23"/>
  <c r="S543" i="23" s="1"/>
  <c r="P544" i="23"/>
  <c r="P545" i="23"/>
  <c r="S545" i="23" s="1"/>
  <c r="P546" i="23"/>
  <c r="S546" i="23" s="1"/>
  <c r="P547" i="23"/>
  <c r="S547" i="23" s="1"/>
  <c r="P548" i="23"/>
  <c r="S548" i="23" s="1"/>
  <c r="P549" i="23"/>
  <c r="S549" i="23" s="1"/>
  <c r="P550" i="23"/>
  <c r="S550" i="23" s="1"/>
  <c r="P551" i="23"/>
  <c r="S551" i="23" s="1"/>
  <c r="P552" i="23"/>
  <c r="S552" i="23" s="1"/>
  <c r="P553" i="23"/>
  <c r="S553" i="23" s="1"/>
  <c r="P554" i="23"/>
  <c r="S554" i="23" s="1"/>
  <c r="P555" i="23"/>
  <c r="S555" i="23" s="1"/>
  <c r="P556" i="23"/>
  <c r="S556" i="23" s="1"/>
  <c r="P557" i="23"/>
  <c r="S557" i="23" s="1"/>
  <c r="P558" i="23"/>
  <c r="S558" i="23" s="1"/>
  <c r="P559" i="23"/>
  <c r="S559" i="23" s="1"/>
  <c r="P560" i="23"/>
  <c r="S560" i="23" s="1"/>
  <c r="P561" i="23"/>
  <c r="S561" i="23" s="1"/>
  <c r="P562" i="23"/>
  <c r="S562" i="23" s="1"/>
  <c r="P563" i="23"/>
  <c r="S563" i="23" s="1"/>
  <c r="P564" i="23"/>
  <c r="S564" i="23" s="1"/>
  <c r="P565" i="23"/>
  <c r="S565" i="23" s="1"/>
  <c r="P566" i="23"/>
  <c r="S566" i="23" s="1"/>
  <c r="P567" i="23"/>
  <c r="S567" i="23" s="1"/>
  <c r="P568" i="23"/>
  <c r="S568" i="23" s="1"/>
  <c r="P569" i="23"/>
  <c r="S569" i="23" s="1"/>
  <c r="P570" i="23"/>
  <c r="S570" i="23" s="1"/>
  <c r="P571" i="23"/>
  <c r="S571" i="23" s="1"/>
  <c r="P572" i="23"/>
  <c r="S572" i="23" s="1"/>
  <c r="P573" i="23"/>
  <c r="S573" i="23" s="1"/>
  <c r="P574" i="23"/>
  <c r="S574" i="23" s="1"/>
  <c r="P575" i="23"/>
  <c r="S575" i="23" s="1"/>
  <c r="P576" i="23"/>
  <c r="S576" i="23" s="1"/>
  <c r="P577" i="23"/>
  <c r="S577" i="23" s="1"/>
  <c r="P578" i="23"/>
  <c r="S578" i="23" s="1"/>
  <c r="P579" i="23"/>
  <c r="S579" i="23" s="1"/>
  <c r="P580" i="23"/>
  <c r="S580" i="23" s="1"/>
  <c r="P581" i="23"/>
  <c r="S581" i="23" s="1"/>
  <c r="P582" i="23"/>
  <c r="S582" i="23" s="1"/>
  <c r="P583" i="23"/>
  <c r="S583" i="23" s="1"/>
  <c r="P584" i="23"/>
  <c r="S584" i="23" s="1"/>
  <c r="P585" i="23"/>
  <c r="S585" i="23" s="1"/>
  <c r="P586" i="23"/>
  <c r="S586" i="23" s="1"/>
  <c r="P587" i="23"/>
  <c r="S587" i="23" s="1"/>
  <c r="P588" i="23"/>
  <c r="S588" i="23" s="1"/>
  <c r="P589" i="23"/>
  <c r="S589" i="23" s="1"/>
  <c r="P590" i="23"/>
  <c r="S590" i="23" s="1"/>
  <c r="P591" i="23"/>
  <c r="S591" i="23" s="1"/>
  <c r="P592" i="23"/>
  <c r="S592" i="23" s="1"/>
  <c r="P593" i="23"/>
  <c r="S593" i="23" s="1"/>
  <c r="P594" i="23"/>
  <c r="S594" i="23" s="1"/>
  <c r="P595" i="23"/>
  <c r="S595" i="23" s="1"/>
  <c r="P596" i="23"/>
  <c r="S596" i="23" s="1"/>
  <c r="P597" i="23"/>
  <c r="S597" i="23" s="1"/>
  <c r="P598" i="23"/>
  <c r="S598" i="23" s="1"/>
  <c r="P599" i="23"/>
  <c r="S599" i="23" s="1"/>
  <c r="P600" i="23"/>
  <c r="S600" i="23" s="1"/>
  <c r="P601" i="23"/>
  <c r="S601" i="23" s="1"/>
  <c r="P602" i="23"/>
  <c r="S602" i="23" s="1"/>
  <c r="P603" i="23"/>
  <c r="S603" i="23" s="1"/>
  <c r="P604" i="23"/>
  <c r="S604" i="23" s="1"/>
  <c r="P605" i="23"/>
  <c r="S605" i="23" s="1"/>
  <c r="P606" i="23"/>
  <c r="S606" i="23" s="1"/>
  <c r="P607" i="23"/>
  <c r="S607" i="23" s="1"/>
  <c r="P608" i="23"/>
  <c r="S608" i="23" s="1"/>
  <c r="P609" i="23"/>
  <c r="S609" i="23" s="1"/>
  <c r="P610" i="23"/>
  <c r="S610" i="23" s="1"/>
  <c r="P611" i="23"/>
  <c r="S611" i="23" s="1"/>
  <c r="P612" i="23"/>
  <c r="S612" i="23" s="1"/>
  <c r="P613" i="23"/>
  <c r="S613" i="23" s="1"/>
  <c r="P614" i="23"/>
  <c r="S614" i="23" s="1"/>
  <c r="P615" i="23"/>
  <c r="S615" i="23" s="1"/>
  <c r="P616" i="23"/>
  <c r="S616" i="23" s="1"/>
  <c r="P617" i="23"/>
  <c r="S617" i="23" s="1"/>
  <c r="P618" i="23"/>
  <c r="S618" i="23" s="1"/>
  <c r="P619" i="23"/>
  <c r="S619" i="23" s="1"/>
  <c r="P620" i="23"/>
  <c r="S620" i="23" s="1"/>
  <c r="P621" i="23"/>
  <c r="S621" i="23" s="1"/>
  <c r="P622" i="23"/>
  <c r="S622" i="23" s="1"/>
  <c r="P623" i="23"/>
  <c r="S623" i="23" s="1"/>
  <c r="P624" i="23"/>
  <c r="S624" i="23" s="1"/>
  <c r="P625" i="23"/>
  <c r="S625" i="23" s="1"/>
  <c r="P626" i="23"/>
  <c r="S626" i="23" s="1"/>
  <c r="P627" i="23"/>
  <c r="S627" i="23" s="1"/>
  <c r="P628" i="23"/>
  <c r="S628" i="23" s="1"/>
  <c r="P629" i="23"/>
  <c r="S629" i="23" s="1"/>
  <c r="P630" i="23"/>
  <c r="S630" i="23" s="1"/>
  <c r="P631" i="23"/>
  <c r="S631" i="23" s="1"/>
  <c r="P632" i="23"/>
  <c r="P633" i="23"/>
  <c r="S633" i="23" s="1"/>
  <c r="P634" i="23"/>
  <c r="S634" i="23" s="1"/>
  <c r="P635" i="23"/>
  <c r="S635" i="23" s="1"/>
  <c r="P636" i="23"/>
  <c r="S636" i="23" s="1"/>
  <c r="P637" i="23"/>
  <c r="S637" i="23" s="1"/>
  <c r="P638" i="23"/>
  <c r="S638" i="23" s="1"/>
  <c r="P639" i="23"/>
  <c r="S639" i="23" s="1"/>
  <c r="P640" i="23"/>
  <c r="S640" i="23" s="1"/>
  <c r="P641" i="23"/>
  <c r="S641" i="23" s="1"/>
  <c r="P642" i="23"/>
  <c r="S642" i="23" s="1"/>
  <c r="P643" i="23"/>
  <c r="S643" i="23" s="1"/>
  <c r="P644" i="23"/>
  <c r="S644" i="23" s="1"/>
  <c r="P645" i="23"/>
  <c r="S645" i="23" s="1"/>
  <c r="P646" i="23"/>
  <c r="S646" i="23" s="1"/>
  <c r="P647" i="23"/>
  <c r="S647" i="23" s="1"/>
  <c r="P648" i="23"/>
  <c r="S648" i="23" s="1"/>
  <c r="P649" i="23"/>
  <c r="S649" i="23" s="1"/>
  <c r="P650" i="23"/>
  <c r="S650" i="23" s="1"/>
  <c r="P651" i="23"/>
  <c r="S651" i="23" s="1"/>
  <c r="P652" i="23"/>
  <c r="S652" i="23" s="1"/>
  <c r="P653" i="23"/>
  <c r="S653" i="23" s="1"/>
  <c r="P654" i="23"/>
  <c r="S654" i="23" s="1"/>
  <c r="P655" i="23"/>
  <c r="S655" i="23" s="1"/>
  <c r="P656" i="23"/>
  <c r="S656" i="23" s="1"/>
  <c r="P657" i="23"/>
  <c r="S657" i="23" s="1"/>
  <c r="P658" i="23"/>
  <c r="S658" i="23" s="1"/>
  <c r="P659" i="23"/>
  <c r="S659" i="23" s="1"/>
  <c r="P660" i="23"/>
  <c r="S660" i="23" s="1"/>
  <c r="P661" i="23"/>
  <c r="S661" i="23" s="1"/>
  <c r="P662" i="23"/>
  <c r="S662" i="23" s="1"/>
  <c r="P663" i="23"/>
  <c r="S663" i="23" s="1"/>
  <c r="P664" i="23"/>
  <c r="S664" i="23" s="1"/>
  <c r="P665" i="23"/>
  <c r="S665" i="23" s="1"/>
  <c r="P666" i="23"/>
  <c r="S666" i="23" s="1"/>
  <c r="P667" i="23"/>
  <c r="S667" i="23" s="1"/>
  <c r="P668" i="23"/>
  <c r="S668" i="23" s="1"/>
  <c r="P669" i="23"/>
  <c r="S669" i="23" s="1"/>
  <c r="P670" i="23"/>
  <c r="S670" i="23" s="1"/>
  <c r="P671" i="23"/>
  <c r="S671" i="23" s="1"/>
  <c r="P672" i="23"/>
  <c r="S672" i="23" s="1"/>
  <c r="P673" i="23"/>
  <c r="S673" i="23" s="1"/>
  <c r="P674" i="23"/>
  <c r="S674" i="23" s="1"/>
  <c r="P675" i="23"/>
  <c r="S675" i="23" s="1"/>
  <c r="P676" i="23"/>
  <c r="S676" i="23" s="1"/>
  <c r="P677" i="23"/>
  <c r="S677" i="23" s="1"/>
  <c r="P678" i="23"/>
  <c r="S678" i="23" s="1"/>
  <c r="P679" i="23"/>
  <c r="S679" i="23" s="1"/>
  <c r="P680" i="23"/>
  <c r="S680" i="23" s="1"/>
  <c r="P681" i="23"/>
  <c r="S681" i="23" s="1"/>
  <c r="P682" i="23"/>
  <c r="S682" i="23" s="1"/>
  <c r="P683" i="23"/>
  <c r="S683" i="23" s="1"/>
  <c r="P684" i="23"/>
  <c r="S684" i="23" s="1"/>
  <c r="P685" i="23"/>
  <c r="S685" i="23" s="1"/>
  <c r="P686" i="23"/>
  <c r="S686" i="23" s="1"/>
  <c r="P687" i="23"/>
  <c r="S687" i="23" s="1"/>
  <c r="P688" i="23"/>
  <c r="S688" i="23" s="1"/>
  <c r="P689" i="23"/>
  <c r="S689" i="23" s="1"/>
  <c r="P690" i="23"/>
  <c r="S690" i="23" s="1"/>
  <c r="P691" i="23"/>
  <c r="S691" i="23" s="1"/>
  <c r="P692" i="23"/>
  <c r="S692" i="23" s="1"/>
  <c r="P693" i="23"/>
  <c r="S693" i="23" s="1"/>
  <c r="P694" i="23"/>
  <c r="S694" i="23" s="1"/>
  <c r="P695" i="23"/>
  <c r="S695" i="23" s="1"/>
  <c r="P696" i="23"/>
  <c r="S696" i="23" s="1"/>
  <c r="P697" i="23"/>
  <c r="S697" i="23" s="1"/>
  <c r="P698" i="23"/>
  <c r="S698" i="23" s="1"/>
  <c r="P699" i="23"/>
  <c r="S699" i="23" s="1"/>
  <c r="P700" i="23"/>
  <c r="S700" i="23" s="1"/>
  <c r="P701" i="23"/>
  <c r="S701" i="23" s="1"/>
  <c r="P702" i="23"/>
  <c r="S702" i="23" s="1"/>
  <c r="P703" i="23"/>
  <c r="S703" i="23" s="1"/>
  <c r="P704" i="23"/>
  <c r="S704" i="23" s="1"/>
  <c r="P705" i="23"/>
  <c r="S705" i="23" s="1"/>
  <c r="P706" i="23"/>
  <c r="S706" i="23" s="1"/>
  <c r="P707" i="23"/>
  <c r="S707" i="23" s="1"/>
  <c r="P708" i="23"/>
  <c r="S708" i="23" s="1"/>
  <c r="P709" i="23"/>
  <c r="S709" i="23" s="1"/>
  <c r="P710" i="23"/>
  <c r="S710" i="23" s="1"/>
  <c r="P711" i="23"/>
  <c r="S711" i="23" s="1"/>
  <c r="P712" i="23"/>
  <c r="S712" i="23" s="1"/>
  <c r="P713" i="23"/>
  <c r="S713" i="23" s="1"/>
  <c r="P714" i="23"/>
  <c r="S714" i="23" s="1"/>
  <c r="P715" i="23"/>
  <c r="S715" i="23" s="1"/>
  <c r="P716" i="23"/>
  <c r="S716" i="23" s="1"/>
  <c r="P717" i="23"/>
  <c r="S717" i="23" s="1"/>
  <c r="P718" i="23"/>
  <c r="S718" i="23" s="1"/>
  <c r="P719" i="23"/>
  <c r="S719" i="23" s="1"/>
  <c r="P720" i="23"/>
  <c r="S720" i="23" s="1"/>
  <c r="P721" i="23"/>
  <c r="S721" i="23" s="1"/>
  <c r="P722" i="23"/>
  <c r="S722" i="23" s="1"/>
  <c r="P723" i="23"/>
  <c r="S723" i="23" s="1"/>
  <c r="P724" i="23"/>
  <c r="S724" i="23" s="1"/>
  <c r="P725" i="23"/>
  <c r="S725" i="23" s="1"/>
  <c r="P726" i="23"/>
  <c r="S726" i="23" s="1"/>
  <c r="P727" i="23"/>
  <c r="S727" i="23" s="1"/>
  <c r="P728" i="23"/>
  <c r="S728" i="23" s="1"/>
  <c r="P729" i="23"/>
  <c r="S729" i="23" s="1"/>
  <c r="P730" i="23"/>
  <c r="S730" i="23" s="1"/>
  <c r="P731" i="23"/>
  <c r="S731" i="23" s="1"/>
  <c r="P732" i="23"/>
  <c r="S732" i="23" s="1"/>
  <c r="P733" i="23"/>
  <c r="S733" i="23" s="1"/>
  <c r="P734" i="23"/>
  <c r="S734" i="23" s="1"/>
  <c r="P735" i="23"/>
  <c r="S735" i="23" s="1"/>
  <c r="P736" i="23"/>
  <c r="S736" i="23" s="1"/>
  <c r="P737" i="23"/>
  <c r="S737" i="23" s="1"/>
  <c r="P738" i="23"/>
  <c r="S738" i="23" s="1"/>
  <c r="P739" i="23"/>
  <c r="S739" i="23" s="1"/>
  <c r="P740" i="23"/>
  <c r="S740" i="23" s="1"/>
  <c r="P741" i="23"/>
  <c r="S741" i="23" s="1"/>
  <c r="P742" i="23"/>
  <c r="S742" i="23" s="1"/>
  <c r="P743" i="23"/>
  <c r="S743" i="23" s="1"/>
  <c r="P744" i="23"/>
  <c r="P745" i="23"/>
  <c r="S745" i="23" s="1"/>
  <c r="P746" i="23"/>
  <c r="S746" i="23" s="1"/>
  <c r="P747" i="23"/>
  <c r="S747" i="23" s="1"/>
  <c r="P748" i="23"/>
  <c r="S748" i="23" s="1"/>
  <c r="P749" i="23"/>
  <c r="S749" i="23" s="1"/>
  <c r="P750" i="23"/>
  <c r="S750" i="23" s="1"/>
  <c r="P751" i="23"/>
  <c r="S751" i="23" s="1"/>
  <c r="P752" i="23"/>
  <c r="S752" i="23" s="1"/>
  <c r="P753" i="23"/>
  <c r="S753" i="23" s="1"/>
  <c r="S544" i="23"/>
  <c r="S632" i="23"/>
  <c r="S744"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476" i="23"/>
  <c r="B477" i="23"/>
  <c r="B478" i="23"/>
  <c r="B479" i="23"/>
  <c r="B480" i="23"/>
  <c r="B481" i="23"/>
  <c r="B482" i="23"/>
  <c r="B483" i="23"/>
  <c r="B484" i="23"/>
  <c r="B485" i="23"/>
  <c r="B486" i="23"/>
  <c r="B487" i="23"/>
  <c r="BI10" i="24" l="1"/>
  <c r="BJ10" i="24"/>
  <c r="BK10" i="24"/>
  <c r="BL10" i="24"/>
  <c r="BI11" i="24"/>
  <c r="BJ11" i="24"/>
  <c r="BK11" i="24"/>
  <c r="BL11" i="24"/>
  <c r="BI12" i="24"/>
  <c r="BJ12" i="24"/>
  <c r="BK12" i="24"/>
  <c r="BL12" i="24"/>
  <c r="BI13" i="24"/>
  <c r="BJ13" i="24"/>
  <c r="BK13" i="24"/>
  <c r="BL13" i="24"/>
  <c r="BI14" i="24"/>
  <c r="BJ14" i="24"/>
  <c r="BK14" i="24"/>
  <c r="BL14" i="24"/>
  <c r="BI15" i="24"/>
  <c r="BJ15" i="24"/>
  <c r="BK15" i="24"/>
  <c r="BL15" i="24"/>
  <c r="BI16" i="24"/>
  <c r="BJ16" i="24"/>
  <c r="BK16" i="24"/>
  <c r="BL16" i="24"/>
  <c r="BI17" i="24"/>
  <c r="BJ17" i="24"/>
  <c r="BK17" i="24"/>
  <c r="BL17" i="24"/>
  <c r="BI18" i="24"/>
  <c r="BJ18" i="24"/>
  <c r="BK18" i="24"/>
  <c r="BL18" i="24"/>
  <c r="BI19" i="24"/>
  <c r="BJ19" i="24"/>
  <c r="BK19" i="24"/>
  <c r="BL19" i="24"/>
  <c r="BI20" i="24"/>
  <c r="BJ20" i="24"/>
  <c r="BK20" i="24"/>
  <c r="BL20" i="24"/>
  <c r="BI21" i="24"/>
  <c r="BJ21" i="24"/>
  <c r="BK21" i="24"/>
  <c r="BL21" i="24"/>
  <c r="BH11" i="24"/>
  <c r="BH12" i="24"/>
  <c r="BH13" i="24"/>
  <c r="BH14" i="24"/>
  <c r="BH15" i="24"/>
  <c r="BH16" i="24"/>
  <c r="BH17" i="24"/>
  <c r="BH18" i="24"/>
  <c r="BH19" i="24"/>
  <c r="BH20" i="24"/>
  <c r="BH21" i="24"/>
  <c r="BH10" i="24"/>
  <c r="C10" i="24" l="1"/>
  <c r="C11" i="24"/>
  <c r="C12" i="24"/>
  <c r="C13" i="24"/>
  <c r="C14" i="24"/>
  <c r="C15" i="24"/>
  <c r="C16" i="24"/>
  <c r="C17" i="24"/>
  <c r="C18" i="24"/>
  <c r="C19" i="24"/>
  <c r="C20" i="24"/>
  <c r="P240" i="23"/>
  <c r="P13" i="23"/>
  <c r="P487" i="23"/>
  <c r="S487" i="23" s="1"/>
  <c r="P486" i="23"/>
  <c r="S486" i="23" s="1"/>
  <c r="P485" i="23"/>
  <c r="S485" i="23" s="1"/>
  <c r="P484" i="23"/>
  <c r="S484" i="23" s="1"/>
  <c r="P483" i="23"/>
  <c r="S483" i="23" s="1"/>
  <c r="P482" i="23"/>
  <c r="S482" i="23" s="1"/>
  <c r="P481" i="23"/>
  <c r="S481" i="23" s="1"/>
  <c r="P480" i="23"/>
  <c r="S480" i="23" s="1"/>
  <c r="P479" i="23"/>
  <c r="S479" i="23" s="1"/>
  <c r="P478" i="23"/>
  <c r="S478" i="23" s="1"/>
  <c r="P477" i="23"/>
  <c r="S477" i="23" s="1"/>
  <c r="P476" i="23"/>
  <c r="S476" i="23" s="1"/>
  <c r="P475" i="23"/>
  <c r="P474" i="23"/>
  <c r="P473" i="23"/>
  <c r="P472" i="23"/>
  <c r="P471" i="23"/>
  <c r="P470" i="23"/>
  <c r="P469" i="23"/>
  <c r="P468" i="23"/>
  <c r="P467" i="23"/>
  <c r="P466" i="23"/>
  <c r="P465" i="23"/>
  <c r="P464" i="23"/>
  <c r="P463" i="23"/>
  <c r="P462" i="23"/>
  <c r="P461" i="23"/>
  <c r="P448" i="23"/>
  <c r="P447" i="23"/>
  <c r="P446" i="23"/>
  <c r="P445" i="23"/>
  <c r="P444" i="23"/>
  <c r="P443" i="23"/>
  <c r="P442" i="23"/>
  <c r="P441" i="23"/>
  <c r="P440" i="23"/>
  <c r="P439" i="23"/>
  <c r="P438" i="23"/>
  <c r="P437" i="23"/>
  <c r="P436" i="23"/>
  <c r="P435" i="23"/>
  <c r="P434" i="23"/>
  <c r="P433" i="23"/>
  <c r="P432" i="23"/>
  <c r="P431" i="23"/>
  <c r="P430" i="23"/>
  <c r="P429" i="23"/>
  <c r="P428" i="23"/>
  <c r="P427" i="23"/>
  <c r="P426" i="23"/>
  <c r="P425" i="23"/>
  <c r="P424" i="23"/>
  <c r="P423" i="23"/>
  <c r="P422" i="23"/>
  <c r="P421" i="23"/>
  <c r="P420" i="23"/>
  <c r="P419" i="23"/>
  <c r="P418" i="23"/>
  <c r="P417" i="23"/>
  <c r="P416" i="23"/>
  <c r="P415" i="23"/>
  <c r="P414" i="23"/>
  <c r="P413" i="23"/>
  <c r="P400" i="23"/>
  <c r="P399" i="23"/>
  <c r="P398" i="23"/>
  <c r="P397" i="23"/>
  <c r="P396" i="23"/>
  <c r="P395" i="23"/>
  <c r="P394" i="23"/>
  <c r="P393" i="23"/>
  <c r="P392" i="23"/>
  <c r="P391" i="23"/>
  <c r="P390" i="23"/>
  <c r="P389" i="23"/>
  <c r="P388" i="23"/>
  <c r="P387" i="23"/>
  <c r="P386" i="23"/>
  <c r="P385" i="23"/>
  <c r="P384" i="23"/>
  <c r="P383" i="23"/>
  <c r="P382" i="23"/>
  <c r="P381" i="23"/>
  <c r="P380" i="23"/>
  <c r="P379" i="23"/>
  <c r="P378" i="23"/>
  <c r="P377" i="23"/>
  <c r="P376" i="23"/>
  <c r="P375" i="23"/>
  <c r="P374" i="23"/>
  <c r="P373" i="23"/>
  <c r="P372" i="23"/>
  <c r="P371" i="23"/>
  <c r="P370" i="23"/>
  <c r="P369" i="23"/>
  <c r="P368" i="23"/>
  <c r="P367" i="23"/>
  <c r="P366" i="23"/>
  <c r="P365" i="23"/>
  <c r="P352" i="23"/>
  <c r="P351" i="23"/>
  <c r="P350" i="23"/>
  <c r="P349" i="23"/>
  <c r="P348" i="23"/>
  <c r="P347" i="23"/>
  <c r="P346" i="23"/>
  <c r="P345" i="23"/>
  <c r="P344" i="23"/>
  <c r="P343" i="23"/>
  <c r="P342" i="23"/>
  <c r="P341" i="23"/>
  <c r="P340" i="23"/>
  <c r="P339" i="23"/>
  <c r="P338" i="23"/>
  <c r="P337" i="23"/>
  <c r="P336" i="23"/>
  <c r="P335" i="23"/>
  <c r="P334" i="23"/>
  <c r="P333" i="23"/>
  <c r="P332" i="23"/>
  <c r="P331" i="23"/>
  <c r="P330" i="23"/>
  <c r="P329" i="23"/>
  <c r="P328" i="23"/>
  <c r="P327" i="23"/>
  <c r="P326" i="23"/>
  <c r="P325" i="23"/>
  <c r="P324" i="23"/>
  <c r="P323" i="23"/>
  <c r="P322" i="23"/>
  <c r="P321" i="23"/>
  <c r="P320" i="23"/>
  <c r="P319" i="23"/>
  <c r="P318" i="23"/>
  <c r="P317" i="23"/>
  <c r="P303" i="23"/>
  <c r="P302" i="23"/>
  <c r="P301" i="23"/>
  <c r="P300" i="23"/>
  <c r="P299" i="23"/>
  <c r="P298" i="23"/>
  <c r="P297" i="23"/>
  <c r="P296" i="23"/>
  <c r="P295" i="23"/>
  <c r="P294" i="23"/>
  <c r="P293" i="23"/>
  <c r="P292" i="23"/>
  <c r="P291" i="23"/>
  <c r="P290" i="23"/>
  <c r="P289" i="23"/>
  <c r="P288" i="23"/>
  <c r="P287" i="23"/>
  <c r="P286" i="23"/>
  <c r="P285" i="23"/>
  <c r="P284" i="23"/>
  <c r="P283" i="23"/>
  <c r="P282" i="23"/>
  <c r="P281" i="23"/>
  <c r="P280" i="23"/>
  <c r="P279" i="23"/>
  <c r="P278" i="23"/>
  <c r="P277" i="23"/>
  <c r="P263" i="23"/>
  <c r="P262" i="23"/>
  <c r="P261" i="23"/>
  <c r="P260" i="23"/>
  <c r="P259" i="23"/>
  <c r="P258" i="23"/>
  <c r="P257" i="23"/>
  <c r="P256" i="23"/>
  <c r="P255" i="23"/>
  <c r="P254" i="23"/>
  <c r="P253" i="23"/>
  <c r="P252" i="23"/>
  <c r="P251" i="23"/>
  <c r="P250" i="23"/>
  <c r="P249" i="23"/>
  <c r="P248" i="23"/>
  <c r="P247" i="23"/>
  <c r="P246" i="23"/>
  <c r="P245" i="23"/>
  <c r="P244" i="23"/>
  <c r="P243" i="23"/>
  <c r="P242" i="23"/>
  <c r="P241" i="23"/>
  <c r="P239" i="23"/>
  <c r="P238" i="23"/>
  <c r="P237" i="23"/>
  <c r="P200" i="23"/>
  <c r="P199" i="23"/>
  <c r="P198" i="23"/>
  <c r="P197" i="23"/>
  <c r="P196" i="23"/>
  <c r="P195" i="23"/>
  <c r="P194" i="23"/>
  <c r="P193" i="23"/>
  <c r="P192" i="23"/>
  <c r="P191" i="23"/>
  <c r="P190" i="23"/>
  <c r="P189" i="23"/>
  <c r="P188" i="23"/>
  <c r="P187" i="23"/>
  <c r="P186" i="23"/>
  <c r="P185" i="23"/>
  <c r="P184" i="23"/>
  <c r="P183" i="23"/>
  <c r="P182" i="23"/>
  <c r="P181" i="23"/>
  <c r="P180" i="23"/>
  <c r="P179" i="23"/>
  <c r="P178" i="23"/>
  <c r="P177" i="23"/>
  <c r="P176" i="23"/>
  <c r="P175" i="23"/>
  <c r="P174" i="23"/>
  <c r="P159" i="23"/>
  <c r="P15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133" i="23"/>
  <c r="P119" i="23"/>
  <c r="P118" i="23"/>
  <c r="P117" i="23"/>
  <c r="P116" i="23"/>
  <c r="P115" i="23"/>
  <c r="P114" i="23"/>
  <c r="P113" i="23"/>
  <c r="P112" i="23"/>
  <c r="P111" i="23"/>
  <c r="P110" i="23"/>
  <c r="P109" i="23"/>
  <c r="P108" i="23"/>
  <c r="P107" i="23"/>
  <c r="P106" i="23"/>
  <c r="P105" i="23"/>
  <c r="P104" i="23"/>
  <c r="P103" i="23"/>
  <c r="P102" i="23"/>
  <c r="P101" i="23"/>
  <c r="P100" i="23"/>
  <c r="P99" i="23"/>
  <c r="P98" i="23"/>
  <c r="P97" i="23"/>
  <c r="P96" i="23"/>
  <c r="P95" i="23"/>
  <c r="P94" i="23"/>
  <c r="P93" i="23"/>
  <c r="P77" i="23"/>
  <c r="P76" i="23"/>
  <c r="P75" i="23"/>
  <c r="P74" i="23"/>
  <c r="P73" i="23"/>
  <c r="P72" i="23"/>
  <c r="P71" i="23"/>
  <c r="P70" i="23"/>
  <c r="P69" i="23"/>
  <c r="P68" i="23"/>
  <c r="P67" i="23"/>
  <c r="P66" i="23"/>
  <c r="P65" i="23"/>
  <c r="P64" i="23"/>
  <c r="P63" i="23"/>
  <c r="P62" i="23"/>
  <c r="P61" i="23"/>
  <c r="P37" i="23"/>
  <c r="P36" i="23"/>
  <c r="P35" i="23"/>
  <c r="P34" i="23"/>
  <c r="P33" i="23"/>
  <c r="P32" i="23"/>
  <c r="P31" i="23"/>
  <c r="P30" i="23"/>
  <c r="P29" i="23"/>
  <c r="P28" i="23"/>
  <c r="P27" i="23"/>
  <c r="P26" i="23"/>
  <c r="P25" i="23"/>
  <c r="P24" i="23"/>
  <c r="P23" i="23"/>
  <c r="P22" i="23"/>
  <c r="P21" i="23"/>
  <c r="P20" i="23"/>
  <c r="P19" i="23"/>
  <c r="P18" i="23"/>
  <c r="P17" i="23"/>
  <c r="P16" i="23"/>
  <c r="P15" i="23"/>
  <c r="P14" i="23"/>
  <c r="P12" i="23"/>
  <c r="P11" i="23"/>
  <c r="P10" i="23"/>
  <c r="P9" i="23"/>
  <c r="P8" i="23"/>
  <c r="P7" i="23"/>
  <c r="P6" i="23"/>
  <c r="P5" i="23"/>
  <c r="P4" i="23"/>
  <c r="P3" i="23"/>
  <c r="P2" i="23"/>
  <c r="S11" i="24" l="1"/>
  <c r="S12" i="24"/>
  <c r="S13" i="24"/>
  <c r="S14" i="24"/>
  <c r="S15" i="24"/>
  <c r="S16" i="24"/>
  <c r="S17" i="24"/>
  <c r="S18" i="24"/>
  <c r="S19" i="24"/>
  <c r="S20" i="24"/>
  <c r="S21" i="24"/>
  <c r="S10" i="24"/>
  <c r="D12" i="28" l="1"/>
  <c r="C6" i="25"/>
  <c r="G38" i="28"/>
  <c r="B38" i="28"/>
  <c r="D38" i="28" s="1"/>
  <c r="G37" i="28"/>
  <c r="D37" i="28"/>
  <c r="G36" i="28"/>
  <c r="D36" i="28"/>
  <c r="G35" i="28"/>
  <c r="G33" i="28"/>
  <c r="B33" i="28"/>
  <c r="D33" i="28" s="1"/>
  <c r="G32" i="28"/>
  <c r="D32" i="28"/>
  <c r="D31" i="28"/>
  <c r="D30" i="28"/>
  <c r="D29" i="28"/>
  <c r="G27" i="28"/>
  <c r="B27" i="28"/>
  <c r="D27" i="28" s="1"/>
  <c r="G26" i="28"/>
  <c r="D26" i="28"/>
  <c r="B26" i="28"/>
  <c r="G25" i="28"/>
  <c r="B25" i="28"/>
  <c r="D25" i="28"/>
  <c r="G24" i="28"/>
  <c r="B24" i="28"/>
  <c r="D24" i="28" s="1"/>
  <c r="G23" i="28"/>
  <c r="B23" i="28"/>
  <c r="D23" i="28" s="1"/>
  <c r="G21" i="28"/>
  <c r="B21" i="28"/>
  <c r="D21" i="28" s="1"/>
  <c r="G20" i="28"/>
  <c r="D20" i="28"/>
  <c r="G19" i="28"/>
  <c r="D19" i="28"/>
  <c r="D17" i="28"/>
  <c r="G16" i="28"/>
  <c r="D16" i="28"/>
  <c r="G14" i="28"/>
  <c r="D14" i="28"/>
  <c r="D13" i="28"/>
  <c r="C10" i="25" s="1"/>
  <c r="G12" i="28"/>
  <c r="C7" i="25" s="1"/>
  <c r="G11" i="28"/>
  <c r="D11" i="28"/>
  <c r="G10" i="28"/>
  <c r="D10" i="28"/>
  <c r="G9" i="28"/>
  <c r="D9" i="28"/>
  <c r="C9" i="25" s="1"/>
  <c r="G8" i="28"/>
  <c r="D8" i="28"/>
  <c r="G7" i="28"/>
  <c r="D7" i="28"/>
  <c r="G6" i="28"/>
  <c r="D6" i="28"/>
  <c r="C8" i="25" s="1"/>
  <c r="K111" i="24"/>
  <c r="M163" i="24" s="1"/>
  <c r="AW31" i="24"/>
  <c r="AX31" i="24"/>
  <c r="AY31" i="24"/>
  <c r="AZ31" i="24"/>
  <c r="BA31" i="24"/>
  <c r="AW32" i="24"/>
  <c r="AX32" i="24"/>
  <c r="AY32" i="24"/>
  <c r="AZ32" i="24"/>
  <c r="BA32" i="24"/>
  <c r="AX30" i="24"/>
  <c r="AY30" i="24"/>
  <c r="AZ30" i="24"/>
  <c r="BA30" i="24"/>
  <c r="AW30" i="24"/>
  <c r="N30" i="24"/>
  <c r="N31" i="24"/>
  <c r="AC31" i="24" s="1"/>
  <c r="O31" i="24"/>
  <c r="P31" i="24"/>
  <c r="AE31" i="24" s="1"/>
  <c r="Q31" i="24"/>
  <c r="AF31" i="24" s="1"/>
  <c r="R31" i="24"/>
  <c r="AG31" i="24" s="1"/>
  <c r="N32" i="24"/>
  <c r="AC32" i="24" s="1"/>
  <c r="O32" i="24"/>
  <c r="AD32" i="24" s="1"/>
  <c r="P32" i="24"/>
  <c r="AE32" i="24" s="1"/>
  <c r="Q32" i="24"/>
  <c r="AF32" i="24" s="1"/>
  <c r="R32" i="24"/>
  <c r="O30" i="24"/>
  <c r="AD30" i="24" s="1"/>
  <c r="P30" i="24"/>
  <c r="Q30" i="24"/>
  <c r="AF30" i="24" s="1"/>
  <c r="R30" i="24"/>
  <c r="AV32" i="24"/>
  <c r="AU32" i="24"/>
  <c r="AT32" i="24"/>
  <c r="AS32" i="24"/>
  <c r="AR32" i="24"/>
  <c r="AQ32" i="24"/>
  <c r="AP32" i="24"/>
  <c r="AO32" i="24"/>
  <c r="AN32" i="24"/>
  <c r="AM32" i="24"/>
  <c r="M32" i="24"/>
  <c r="L32" i="24"/>
  <c r="K32" i="24"/>
  <c r="J32" i="24"/>
  <c r="I32" i="24"/>
  <c r="H32" i="24"/>
  <c r="G32" i="24"/>
  <c r="F32" i="24"/>
  <c r="E32" i="24"/>
  <c r="D32" i="24"/>
  <c r="AV31" i="24"/>
  <c r="AU31" i="24"/>
  <c r="AT31" i="24"/>
  <c r="AS31" i="24"/>
  <c r="AR31" i="24"/>
  <c r="AQ31" i="24"/>
  <c r="AP31" i="24"/>
  <c r="AO31" i="24"/>
  <c r="AN31" i="24"/>
  <c r="AM31" i="24"/>
  <c r="M31" i="24"/>
  <c r="L31" i="24"/>
  <c r="K31" i="24"/>
  <c r="J31" i="24"/>
  <c r="I31" i="24"/>
  <c r="H31" i="24"/>
  <c r="G31" i="24"/>
  <c r="F31" i="24"/>
  <c r="E31" i="24"/>
  <c r="D31" i="24"/>
  <c r="AS30" i="24"/>
  <c r="AT30" i="24"/>
  <c r="AN30" i="24"/>
  <c r="AO30" i="24"/>
  <c r="J30" i="24"/>
  <c r="K30" i="24"/>
  <c r="L30" i="24"/>
  <c r="M30" i="24"/>
  <c r="G30" i="24"/>
  <c r="H30" i="24"/>
  <c r="F30" i="24"/>
  <c r="E30" i="24"/>
  <c r="D30" i="24"/>
  <c r="BQ21" i="24"/>
  <c r="BP21" i="24"/>
  <c r="BO21" i="24"/>
  <c r="BN21" i="24"/>
  <c r="BM21" i="24"/>
  <c r="W21" i="24"/>
  <c r="V21" i="24"/>
  <c r="U21" i="24"/>
  <c r="T21" i="24"/>
  <c r="R21" i="24"/>
  <c r="Q21" i="24"/>
  <c r="P21" i="24"/>
  <c r="O21" i="24"/>
  <c r="N21" i="24"/>
  <c r="C21" i="24"/>
  <c r="F65" i="24" s="1"/>
  <c r="BQ20" i="24"/>
  <c r="BP20" i="24"/>
  <c r="BO20" i="24"/>
  <c r="BN20" i="24"/>
  <c r="BM20" i="24"/>
  <c r="W20" i="24"/>
  <c r="V20" i="24"/>
  <c r="U20" i="24"/>
  <c r="T20" i="24"/>
  <c r="R20" i="24"/>
  <c r="Q20" i="24"/>
  <c r="P20" i="24"/>
  <c r="O20" i="24"/>
  <c r="N20" i="24"/>
  <c r="BQ19" i="24"/>
  <c r="BP19" i="24"/>
  <c r="BO19" i="24"/>
  <c r="BN19" i="24"/>
  <c r="BM19" i="24"/>
  <c r="W19" i="24"/>
  <c r="V19" i="24"/>
  <c r="U19" i="24"/>
  <c r="T19" i="24"/>
  <c r="R19" i="24"/>
  <c r="Q19" i="24"/>
  <c r="P19" i="24"/>
  <c r="O19" i="24"/>
  <c r="N19" i="24"/>
  <c r="BQ18" i="24"/>
  <c r="BP18" i="24"/>
  <c r="BO18" i="24"/>
  <c r="BN18" i="24"/>
  <c r="BM18" i="24"/>
  <c r="W18" i="24"/>
  <c r="V18" i="24"/>
  <c r="U18" i="24"/>
  <c r="T18" i="24"/>
  <c r="R18" i="24"/>
  <c r="Q18" i="24"/>
  <c r="P18" i="24"/>
  <c r="O18" i="24"/>
  <c r="N18" i="24"/>
  <c r="BQ17" i="24"/>
  <c r="BP17" i="24"/>
  <c r="BO17" i="24"/>
  <c r="BN17" i="24"/>
  <c r="BM17" i="24"/>
  <c r="W17" i="24"/>
  <c r="V17" i="24"/>
  <c r="U17" i="24"/>
  <c r="T17" i="24"/>
  <c r="R17" i="24"/>
  <c r="Q17" i="24"/>
  <c r="P17" i="24"/>
  <c r="O17" i="24"/>
  <c r="N17" i="24"/>
  <c r="BQ16" i="24"/>
  <c r="BP16" i="24"/>
  <c r="BO16" i="24"/>
  <c r="BN16" i="24"/>
  <c r="BM16" i="24"/>
  <c r="W16" i="24"/>
  <c r="V16" i="24"/>
  <c r="U16" i="24"/>
  <c r="T16" i="24"/>
  <c r="R16" i="24"/>
  <c r="Q16" i="24"/>
  <c r="P16" i="24"/>
  <c r="O16" i="24"/>
  <c r="N16" i="24"/>
  <c r="BQ15" i="24"/>
  <c r="BP15" i="24"/>
  <c r="BO15" i="24"/>
  <c r="BN15" i="24"/>
  <c r="BM15" i="24"/>
  <c r="W15" i="24"/>
  <c r="V15" i="24"/>
  <c r="U15" i="24"/>
  <c r="T15" i="24"/>
  <c r="R15" i="24"/>
  <c r="Q15" i="24"/>
  <c r="P15" i="24"/>
  <c r="O15" i="24"/>
  <c r="N15" i="24"/>
  <c r="BQ14" i="24"/>
  <c r="BP14" i="24"/>
  <c r="BO14" i="24"/>
  <c r="BN14" i="24"/>
  <c r="BM14" i="24"/>
  <c r="W14" i="24"/>
  <c r="V14" i="24"/>
  <c r="U14" i="24"/>
  <c r="T14" i="24"/>
  <c r="R14" i="24"/>
  <c r="Q14" i="24"/>
  <c r="P14" i="24"/>
  <c r="O14" i="24"/>
  <c r="N14" i="24"/>
  <c r="BQ13" i="24"/>
  <c r="BP13" i="24"/>
  <c r="BO13" i="24"/>
  <c r="BN13" i="24"/>
  <c r="BM13" i="24"/>
  <c r="W13" i="24"/>
  <c r="V13" i="24"/>
  <c r="U13" i="24"/>
  <c r="T13" i="24"/>
  <c r="R13" i="24"/>
  <c r="Q13" i="24"/>
  <c r="P13" i="24"/>
  <c r="O13" i="24"/>
  <c r="N13" i="24"/>
  <c r="BQ12" i="24"/>
  <c r="BP12" i="24"/>
  <c r="BO12" i="24"/>
  <c r="BN12" i="24"/>
  <c r="BM12" i="24"/>
  <c r="W12" i="24"/>
  <c r="V12" i="24"/>
  <c r="U12" i="24"/>
  <c r="T12" i="24"/>
  <c r="R12" i="24"/>
  <c r="Q12" i="24"/>
  <c r="P12" i="24"/>
  <c r="O12" i="24"/>
  <c r="N12" i="24"/>
  <c r="BQ11" i="24"/>
  <c r="BP11" i="24"/>
  <c r="BO11" i="24"/>
  <c r="BN11" i="24"/>
  <c r="BM11" i="24"/>
  <c r="W11" i="24"/>
  <c r="V11" i="24"/>
  <c r="U11" i="24"/>
  <c r="T11" i="24"/>
  <c r="R11" i="24"/>
  <c r="Q11" i="24"/>
  <c r="P11" i="24"/>
  <c r="AJ11" i="24" s="1"/>
  <c r="O11" i="24"/>
  <c r="N11" i="24"/>
  <c r="BN10" i="24"/>
  <c r="BO10" i="24"/>
  <c r="BP10" i="24"/>
  <c r="BQ10" i="24"/>
  <c r="W10" i="24"/>
  <c r="V10" i="24"/>
  <c r="AP10" i="24" s="1"/>
  <c r="U10" i="24"/>
  <c r="T10" i="24"/>
  <c r="R10" i="24"/>
  <c r="Q10" i="24"/>
  <c r="AK10" i="24" s="1"/>
  <c r="P10" i="24"/>
  <c r="O10" i="24"/>
  <c r="N10" i="24"/>
  <c r="AU30" i="24"/>
  <c r="AV30" i="24"/>
  <c r="AR30" i="24"/>
  <c r="AP30" i="24"/>
  <c r="AQ30" i="24"/>
  <c r="AM30" i="24"/>
  <c r="I30" i="24"/>
  <c r="BM10" i="24"/>
  <c r="K113" i="24"/>
  <c r="H112" i="24"/>
  <c r="M99" i="24"/>
  <c r="M93" i="24"/>
  <c r="S3" i="23"/>
  <c r="S4" i="23"/>
  <c r="S5" i="23"/>
  <c r="S6" i="23"/>
  <c r="S7" i="23"/>
  <c r="S8" i="23"/>
  <c r="S9" i="23"/>
  <c r="S10" i="23"/>
  <c r="S11" i="23"/>
  <c r="S12" i="23"/>
  <c r="S13" i="23"/>
  <c r="S14" i="23"/>
  <c r="S15" i="23"/>
  <c r="S16" i="23"/>
  <c r="S17" i="23"/>
  <c r="S18" i="23"/>
  <c r="S19" i="23"/>
  <c r="S20" i="23"/>
  <c r="S21" i="23"/>
  <c r="S22" i="23"/>
  <c r="S23" i="23"/>
  <c r="S24" i="23"/>
  <c r="S25" i="23"/>
  <c r="S26" i="23"/>
  <c r="S27" i="23"/>
  <c r="S28" i="23"/>
  <c r="S29" i="23"/>
  <c r="S30" i="23"/>
  <c r="S31" i="23"/>
  <c r="S32" i="23"/>
  <c r="S33" i="23"/>
  <c r="S34" i="23"/>
  <c r="S35" i="23"/>
  <c r="S36" i="23"/>
  <c r="S37" i="23"/>
  <c r="S61" i="23"/>
  <c r="S62" i="23"/>
  <c r="S63" i="23"/>
  <c r="S64" i="23"/>
  <c r="S65" i="23"/>
  <c r="S66" i="23"/>
  <c r="S67" i="23"/>
  <c r="S68" i="23"/>
  <c r="S69" i="23"/>
  <c r="S70" i="23"/>
  <c r="S71" i="23"/>
  <c r="S72" i="23"/>
  <c r="S73" i="23"/>
  <c r="S74" i="23"/>
  <c r="S75" i="23"/>
  <c r="S76" i="23"/>
  <c r="S77" i="23"/>
  <c r="S93" i="23"/>
  <c r="S94" i="23"/>
  <c r="S95" i="23"/>
  <c r="S96" i="23"/>
  <c r="S97" i="23"/>
  <c r="S98" i="23"/>
  <c r="S99" i="23"/>
  <c r="S100" i="23"/>
  <c r="S101" i="23"/>
  <c r="S102" i="23"/>
  <c r="S103" i="23"/>
  <c r="S104" i="23"/>
  <c r="S105" i="23"/>
  <c r="S106" i="23"/>
  <c r="S107" i="23"/>
  <c r="S108" i="23"/>
  <c r="S109" i="23"/>
  <c r="S110" i="23"/>
  <c r="S111" i="23"/>
  <c r="S112" i="23"/>
  <c r="S113" i="23"/>
  <c r="S114" i="23"/>
  <c r="S115" i="23"/>
  <c r="S116" i="23"/>
  <c r="S117" i="23"/>
  <c r="S118" i="23"/>
  <c r="S119" i="23"/>
  <c r="S133" i="23"/>
  <c r="S134" i="23"/>
  <c r="S135" i="23"/>
  <c r="S136" i="23"/>
  <c r="S137" i="23"/>
  <c r="S138" i="23"/>
  <c r="S139" i="23"/>
  <c r="S140" i="23"/>
  <c r="S141" i="23"/>
  <c r="S142" i="23"/>
  <c r="S143" i="23"/>
  <c r="S144" i="23"/>
  <c r="S145" i="23"/>
  <c r="S146" i="23"/>
  <c r="S147" i="23"/>
  <c r="S148" i="23"/>
  <c r="S149" i="23"/>
  <c r="S150" i="23"/>
  <c r="S151" i="23"/>
  <c r="S152" i="23"/>
  <c r="S153" i="23"/>
  <c r="S154" i="23"/>
  <c r="S155" i="23"/>
  <c r="S156" i="23"/>
  <c r="S157" i="23"/>
  <c r="S158" i="23"/>
  <c r="S159" i="23"/>
  <c r="S174" i="23"/>
  <c r="S175" i="23"/>
  <c r="S176" i="23"/>
  <c r="S177" i="23"/>
  <c r="S178" i="23"/>
  <c r="S179" i="23"/>
  <c r="S180" i="23"/>
  <c r="S181" i="23"/>
  <c r="S182" i="23"/>
  <c r="S183" i="23"/>
  <c r="S184" i="23"/>
  <c r="S185" i="23"/>
  <c r="S186" i="23"/>
  <c r="S187" i="23"/>
  <c r="S188" i="23"/>
  <c r="S189" i="23"/>
  <c r="S190" i="23"/>
  <c r="S191" i="23"/>
  <c r="S192" i="23"/>
  <c r="S193" i="23"/>
  <c r="S194" i="23"/>
  <c r="S195" i="23"/>
  <c r="S196" i="23"/>
  <c r="S197" i="23"/>
  <c r="S198" i="23"/>
  <c r="S199" i="23"/>
  <c r="S200" i="23"/>
  <c r="S237" i="23"/>
  <c r="S238" i="23"/>
  <c r="S239" i="23"/>
  <c r="S240" i="23"/>
  <c r="S241" i="23"/>
  <c r="S242" i="23"/>
  <c r="S243" i="23"/>
  <c r="S244" i="23"/>
  <c r="S245" i="23"/>
  <c r="S246" i="23"/>
  <c r="S247" i="23"/>
  <c r="S248" i="23"/>
  <c r="S249" i="23"/>
  <c r="S250" i="23"/>
  <c r="S251" i="23"/>
  <c r="S252" i="23"/>
  <c r="S253" i="23"/>
  <c r="S254" i="23"/>
  <c r="S255" i="23"/>
  <c r="S256" i="23"/>
  <c r="S257" i="23"/>
  <c r="S258" i="23"/>
  <c r="S259" i="23"/>
  <c r="S260" i="23"/>
  <c r="S261" i="23"/>
  <c r="S262" i="23"/>
  <c r="S263" i="23"/>
  <c r="S277" i="23"/>
  <c r="S278" i="23"/>
  <c r="S279" i="23"/>
  <c r="S280" i="23"/>
  <c r="S281" i="23"/>
  <c r="S282" i="23"/>
  <c r="S283" i="23"/>
  <c r="S284" i="23"/>
  <c r="S285" i="23"/>
  <c r="S286" i="23"/>
  <c r="S287" i="23"/>
  <c r="S288" i="23"/>
  <c r="S289" i="23"/>
  <c r="S290" i="23"/>
  <c r="S291" i="23"/>
  <c r="S292" i="23"/>
  <c r="S293" i="23"/>
  <c r="S294" i="23"/>
  <c r="S295" i="23"/>
  <c r="S296" i="23"/>
  <c r="S297" i="23"/>
  <c r="S298" i="23"/>
  <c r="S299" i="23"/>
  <c r="S300" i="23"/>
  <c r="S301" i="23"/>
  <c r="S302" i="23"/>
  <c r="S303" i="23"/>
  <c r="S317" i="23"/>
  <c r="S318" i="23"/>
  <c r="S319" i="23"/>
  <c r="S320" i="23"/>
  <c r="S321" i="23"/>
  <c r="S322" i="23"/>
  <c r="S323" i="23"/>
  <c r="S324" i="23"/>
  <c r="S325" i="23"/>
  <c r="S326" i="23"/>
  <c r="S327" i="23"/>
  <c r="S328" i="23"/>
  <c r="S329" i="23"/>
  <c r="S331" i="23"/>
  <c r="S332" i="23"/>
  <c r="S333" i="23"/>
  <c r="S334" i="23"/>
  <c r="S335" i="23"/>
  <c r="S336" i="23"/>
  <c r="S337" i="23"/>
  <c r="S338" i="23"/>
  <c r="S339" i="23"/>
  <c r="S340" i="23"/>
  <c r="S341" i="23"/>
  <c r="S343" i="23"/>
  <c r="S344" i="23"/>
  <c r="S345" i="23"/>
  <c r="S346" i="23"/>
  <c r="S347" i="23"/>
  <c r="S348" i="23"/>
  <c r="S349" i="23"/>
  <c r="S350" i="23"/>
  <c r="S351" i="23"/>
  <c r="S352" i="23"/>
  <c r="S365" i="23"/>
  <c r="S366" i="23"/>
  <c r="S367" i="23"/>
  <c r="S368" i="23"/>
  <c r="S369" i="23"/>
  <c r="S370" i="23"/>
  <c r="S371" i="23"/>
  <c r="S372" i="23"/>
  <c r="S373" i="23"/>
  <c r="S374" i="23"/>
  <c r="S375" i="23"/>
  <c r="S376" i="23"/>
  <c r="S377" i="23"/>
  <c r="S379" i="23"/>
  <c r="S380" i="23"/>
  <c r="S381" i="23"/>
  <c r="S382" i="23"/>
  <c r="S383" i="23"/>
  <c r="S384" i="23"/>
  <c r="S385" i="23"/>
  <c r="S386" i="23"/>
  <c r="S387" i="23"/>
  <c r="S388" i="23"/>
  <c r="S389" i="23"/>
  <c r="S391" i="23"/>
  <c r="S392" i="23"/>
  <c r="S393" i="23"/>
  <c r="S394" i="23"/>
  <c r="S395" i="23"/>
  <c r="S396" i="23"/>
  <c r="S397" i="23"/>
  <c r="S398" i="23"/>
  <c r="S399" i="23"/>
  <c r="S400" i="23"/>
  <c r="S413" i="23"/>
  <c r="S414" i="23"/>
  <c r="S415" i="23"/>
  <c r="S416" i="23"/>
  <c r="S417" i="23"/>
  <c r="S418" i="23"/>
  <c r="S419" i="23"/>
  <c r="S420" i="23"/>
  <c r="S421" i="23"/>
  <c r="S422" i="23"/>
  <c r="S423" i="23"/>
  <c r="S424" i="23"/>
  <c r="S425" i="23"/>
  <c r="S426" i="23"/>
  <c r="S427" i="23"/>
  <c r="S428" i="23"/>
  <c r="S429" i="23"/>
  <c r="S430" i="23"/>
  <c r="S431" i="23"/>
  <c r="S432" i="23"/>
  <c r="S433" i="23"/>
  <c r="S434" i="23"/>
  <c r="S435" i="23"/>
  <c r="S436" i="23"/>
  <c r="S437" i="23"/>
  <c r="S438" i="23"/>
  <c r="S439" i="23"/>
  <c r="S440" i="23"/>
  <c r="S441" i="23"/>
  <c r="S442" i="23"/>
  <c r="S443" i="23"/>
  <c r="S444" i="23"/>
  <c r="S445" i="23"/>
  <c r="S446" i="23"/>
  <c r="S447" i="23"/>
  <c r="S448" i="23"/>
  <c r="S461" i="23"/>
  <c r="S462" i="23"/>
  <c r="S463" i="23"/>
  <c r="S464" i="23"/>
  <c r="S465" i="23"/>
  <c r="S466" i="23"/>
  <c r="S467" i="23"/>
  <c r="S468" i="23"/>
  <c r="S469" i="23"/>
  <c r="S470" i="23"/>
  <c r="S471" i="23"/>
  <c r="S472" i="23"/>
  <c r="S473" i="23"/>
  <c r="S474" i="23"/>
  <c r="S475" i="23"/>
  <c r="S2" i="23"/>
  <c r="B63" i="23"/>
  <c r="B64" i="23"/>
  <c r="B65" i="23"/>
  <c r="B66" i="23"/>
  <c r="B67" i="23"/>
  <c r="B68" i="23"/>
  <c r="B69" i="23"/>
  <c r="B70" i="23"/>
  <c r="B71" i="23"/>
  <c r="B72" i="23"/>
  <c r="B73" i="23"/>
  <c r="B74" i="23"/>
  <c r="B75" i="23"/>
  <c r="B76" i="23"/>
  <c r="B77"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61" i="23"/>
  <c r="B462" i="23"/>
  <c r="B463" i="23"/>
  <c r="B464" i="23"/>
  <c r="B465" i="23"/>
  <c r="B466" i="23"/>
  <c r="B467" i="23"/>
  <c r="B468" i="23"/>
  <c r="B469" i="23"/>
  <c r="B470" i="23"/>
  <c r="B471" i="23"/>
  <c r="B472" i="23"/>
  <c r="B473" i="23"/>
  <c r="B474" i="23"/>
  <c r="B475" i="23"/>
  <c r="B4" i="23"/>
  <c r="B3" i="23"/>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61" i="23"/>
  <c r="B62" i="23"/>
  <c r="B2" i="23"/>
  <c r="M171" i="24" l="1"/>
  <c r="N103" i="24"/>
  <c r="E19" i="26"/>
  <c r="E24" i="26"/>
  <c r="E30" i="26"/>
  <c r="E35" i="26"/>
  <c r="E40" i="26"/>
  <c r="E46" i="26"/>
  <c r="E51" i="26"/>
  <c r="E56" i="26"/>
  <c r="E62" i="26"/>
  <c r="E67" i="26"/>
  <c r="E20" i="26"/>
  <c r="E26" i="26"/>
  <c r="E31" i="26"/>
  <c r="E36" i="26"/>
  <c r="E42" i="26"/>
  <c r="E47" i="26"/>
  <c r="E52" i="26"/>
  <c r="E58" i="26"/>
  <c r="E63" i="26"/>
  <c r="E15" i="26"/>
  <c r="E16" i="26"/>
  <c r="E22" i="26"/>
  <c r="E27" i="26"/>
  <c r="E32" i="26"/>
  <c r="E38" i="26"/>
  <c r="E43" i="26"/>
  <c r="E48" i="26"/>
  <c r="E54" i="26"/>
  <c r="E59" i="26"/>
  <c r="E64" i="26"/>
  <c r="E18" i="26"/>
  <c r="E23" i="26"/>
  <c r="E28" i="26"/>
  <c r="E34" i="26"/>
  <c r="E39" i="26"/>
  <c r="E44" i="26"/>
  <c r="E50" i="26"/>
  <c r="E55" i="26"/>
  <c r="E60" i="26"/>
  <c r="E66" i="26"/>
  <c r="AM10" i="24"/>
  <c r="AM17" i="24"/>
  <c r="AM12" i="24"/>
  <c r="AM18" i="24"/>
  <c r="AM13" i="24"/>
  <c r="AM19" i="24"/>
  <c r="AM14" i="24"/>
  <c r="AM20" i="24"/>
  <c r="AM15" i="24"/>
  <c r="AM21" i="24"/>
  <c r="AM16" i="24"/>
  <c r="AM11" i="24"/>
  <c r="AO11" i="24"/>
  <c r="AL12" i="24"/>
  <c r="AQ12" i="24"/>
  <c r="AH14" i="24"/>
  <c r="AL14" i="24"/>
  <c r="AQ14" i="24"/>
  <c r="AJ15" i="24"/>
  <c r="AO15" i="24"/>
  <c r="AH16" i="24"/>
  <c r="AL16" i="24"/>
  <c r="AQ16" i="24"/>
  <c r="AJ17" i="24"/>
  <c r="AO17" i="24"/>
  <c r="AH18" i="24"/>
  <c r="AL18" i="24"/>
  <c r="AQ18" i="24"/>
  <c r="AJ19" i="24"/>
  <c r="AO19" i="24"/>
  <c r="AH20" i="24"/>
  <c r="AL20" i="24"/>
  <c r="AQ20" i="24"/>
  <c r="AI21" i="24"/>
  <c r="AN21" i="24"/>
  <c r="W30" i="24"/>
  <c r="Z30" i="24"/>
  <c r="U31" i="24"/>
  <c r="Y31" i="24"/>
  <c r="U32" i="24"/>
  <c r="Y32" i="24"/>
  <c r="AH10" i="24"/>
  <c r="AL10" i="24"/>
  <c r="AQ10" i="24"/>
  <c r="AK11" i="24"/>
  <c r="AP11" i="24"/>
  <c r="AI12" i="24"/>
  <c r="AN12" i="24"/>
  <c r="AK13" i="24"/>
  <c r="AP13" i="24"/>
  <c r="AI14" i="24"/>
  <c r="AN14" i="24"/>
  <c r="AK15" i="24"/>
  <c r="AP15" i="24"/>
  <c r="AI16" i="24"/>
  <c r="AN16" i="24"/>
  <c r="AK17" i="24"/>
  <c r="AP17" i="24"/>
  <c r="AI18" i="24"/>
  <c r="AN18" i="24"/>
  <c r="AK19" i="24"/>
  <c r="AP19" i="24"/>
  <c r="AI20" i="24"/>
  <c r="AN20" i="24"/>
  <c r="AJ21" i="24"/>
  <c r="AO21" i="24"/>
  <c r="S30" i="24"/>
  <c r="V30" i="24"/>
  <c r="Y30" i="24"/>
  <c r="V31" i="24"/>
  <c r="Z31" i="24"/>
  <c r="V32" i="24"/>
  <c r="Z32" i="24"/>
  <c r="E17" i="26"/>
  <c r="AO13" i="24"/>
  <c r="X30" i="24"/>
  <c r="AI10" i="24"/>
  <c r="AN10" i="24"/>
  <c r="AH11" i="24"/>
  <c r="AL11" i="24"/>
  <c r="AQ11" i="24"/>
  <c r="AJ12" i="24"/>
  <c r="AO12" i="24"/>
  <c r="AH13" i="24"/>
  <c r="AL13" i="24"/>
  <c r="AQ13" i="24"/>
  <c r="AJ14" i="24"/>
  <c r="AO14" i="24"/>
  <c r="AH15" i="24"/>
  <c r="AL15" i="24"/>
  <c r="AQ15" i="24"/>
  <c r="AJ16" i="24"/>
  <c r="AO16" i="24"/>
  <c r="AH17" i="24"/>
  <c r="AL17" i="24"/>
  <c r="AQ17" i="24"/>
  <c r="AJ18" i="24"/>
  <c r="AO18" i="24"/>
  <c r="AH19" i="24"/>
  <c r="AL19" i="24"/>
  <c r="AQ19" i="24"/>
  <c r="AJ20" i="24"/>
  <c r="AO20" i="24"/>
  <c r="AK21" i="24"/>
  <c r="AP21" i="24"/>
  <c r="T30" i="24"/>
  <c r="AB30" i="24"/>
  <c r="S31" i="24"/>
  <c r="AA31" i="24"/>
  <c r="S32" i="24"/>
  <c r="W32" i="24"/>
  <c r="AA32" i="24"/>
  <c r="AH12" i="24"/>
  <c r="AJ13" i="24"/>
  <c r="AJ10" i="24"/>
  <c r="AO10" i="24"/>
  <c r="AI11" i="24"/>
  <c r="AN11" i="24"/>
  <c r="AK12" i="24"/>
  <c r="AP12" i="24"/>
  <c r="AI13" i="24"/>
  <c r="AN13" i="24"/>
  <c r="AK14" i="24"/>
  <c r="AP14" i="24"/>
  <c r="AI15" i="24"/>
  <c r="AN15" i="24"/>
  <c r="AK16" i="24"/>
  <c r="AP16" i="24"/>
  <c r="AI17" i="24"/>
  <c r="AN17" i="24"/>
  <c r="AK18" i="24"/>
  <c r="AP18" i="24"/>
  <c r="AI19" i="24"/>
  <c r="AN19" i="24"/>
  <c r="AK20" i="24"/>
  <c r="AP20" i="24"/>
  <c r="AH21" i="24"/>
  <c r="AL21" i="24"/>
  <c r="AQ21" i="24"/>
  <c r="AA30" i="24"/>
  <c r="T31" i="24"/>
  <c r="X31" i="24"/>
  <c r="AB31" i="24"/>
  <c r="T32" i="24"/>
  <c r="X32" i="24"/>
  <c r="AB32" i="24"/>
  <c r="M141" i="24"/>
  <c r="M135" i="24"/>
  <c r="M116" i="24"/>
  <c r="M145" i="24"/>
  <c r="N97" i="24"/>
  <c r="L125" i="24"/>
  <c r="L161" i="24"/>
  <c r="L127" i="24"/>
  <c r="L123" i="24"/>
  <c r="D10" i="24"/>
  <c r="K168" i="24"/>
  <c r="K159" i="24"/>
  <c r="L126" i="24"/>
  <c r="K146" i="24"/>
  <c r="L154" i="24"/>
  <c r="L167" i="24"/>
  <c r="L137" i="24"/>
  <c r="M146" i="24"/>
  <c r="K116" i="24"/>
  <c r="K143" i="24"/>
  <c r="M153" i="24"/>
  <c r="L155" i="24"/>
  <c r="M130" i="24"/>
  <c r="M160" i="24"/>
  <c r="M169" i="24"/>
  <c r="M154" i="24"/>
  <c r="M134" i="24"/>
  <c r="M156" i="24"/>
  <c r="K153" i="24"/>
  <c r="M149" i="24"/>
  <c r="L148" i="24"/>
  <c r="L133" i="24"/>
  <c r="K138" i="24"/>
  <c r="M158" i="24"/>
  <c r="K114" i="24"/>
  <c r="M136" i="24"/>
  <c r="M173" i="24"/>
  <c r="M117" i="24"/>
  <c r="M151" i="24"/>
  <c r="L159" i="24"/>
  <c r="M122" i="24"/>
  <c r="K137" i="24"/>
  <c r="L116" i="24"/>
  <c r="M144" i="24"/>
  <c r="L124" i="24"/>
  <c r="M142" i="24"/>
  <c r="L136" i="24"/>
  <c r="M115" i="24"/>
  <c r="L157" i="24"/>
  <c r="K154" i="24"/>
  <c r="M167" i="24"/>
  <c r="M118" i="24"/>
  <c r="M128" i="24"/>
  <c r="L141" i="24"/>
  <c r="M127" i="24"/>
  <c r="M125" i="24"/>
  <c r="M172" i="24"/>
  <c r="K172" i="24"/>
  <c r="L162" i="24"/>
  <c r="M164" i="24"/>
  <c r="L147" i="24"/>
  <c r="K125" i="24"/>
  <c r="K140" i="24"/>
  <c r="L150" i="24"/>
  <c r="K136" i="24"/>
  <c r="M126" i="24"/>
  <c r="K127" i="24"/>
  <c r="M124" i="24"/>
  <c r="L173" i="24"/>
  <c r="K170" i="24"/>
  <c r="M155" i="24"/>
  <c r="L145" i="24"/>
  <c r="M148" i="24"/>
  <c r="M114" i="24"/>
  <c r="M159" i="24"/>
  <c r="AM34" i="24"/>
  <c r="K167" i="24"/>
  <c r="M165" i="24"/>
  <c r="L172" i="24"/>
  <c r="M152" i="24"/>
  <c r="M139" i="24"/>
  <c r="K147" i="24"/>
  <c r="L138" i="24"/>
  <c r="K128" i="24"/>
  <c r="M131" i="24"/>
  <c r="K133" i="24"/>
  <c r="M143" i="24"/>
  <c r="K130" i="24"/>
  <c r="L144" i="24"/>
  <c r="L135" i="24"/>
  <c r="M166" i="24"/>
  <c r="L165" i="24"/>
  <c r="K150" i="24"/>
  <c r="K155" i="24"/>
  <c r="M168" i="24"/>
  <c r="K145" i="24"/>
  <c r="M132" i="24"/>
  <c r="K124" i="24"/>
  <c r="M119" i="24"/>
  <c r="M162" i="24"/>
  <c r="BE30" i="24"/>
  <c r="AT34" i="24"/>
  <c r="BE32" i="24"/>
  <c r="BF32" i="24"/>
  <c r="G65" i="24"/>
  <c r="D65" i="24"/>
  <c r="E65" i="26"/>
  <c r="E61" i="26"/>
  <c r="E57" i="26"/>
  <c r="E53" i="26"/>
  <c r="E49" i="26"/>
  <c r="E45" i="26"/>
  <c r="E41" i="26"/>
  <c r="E37" i="26"/>
  <c r="E33" i="26"/>
  <c r="E29" i="26"/>
  <c r="E25" i="26"/>
  <c r="E21" i="26"/>
  <c r="AG30" i="24"/>
  <c r="AG32" i="24"/>
  <c r="AL32" i="24" s="1"/>
  <c r="AD31" i="24"/>
  <c r="AI31" i="24" s="1"/>
  <c r="T23" i="24"/>
  <c r="AN34" i="24"/>
  <c r="AH32" i="24"/>
  <c r="S34" i="24"/>
  <c r="C83" i="24" s="1"/>
  <c r="L143" i="24"/>
  <c r="L151" i="24"/>
  <c r="L146" i="24"/>
  <c r="L122" i="24"/>
  <c r="K126" i="24"/>
  <c r="K117" i="24"/>
  <c r="K141" i="24"/>
  <c r="K149" i="24"/>
  <c r="L171" i="24"/>
  <c r="K156" i="24"/>
  <c r="F10" i="24"/>
  <c r="Z10" i="24" s="1"/>
  <c r="K10" i="24"/>
  <c r="AE10" i="24" s="1"/>
  <c r="AX10" i="24"/>
  <c r="BG10" i="24"/>
  <c r="F11" i="24"/>
  <c r="Z11" i="24" s="1"/>
  <c r="M11" i="24"/>
  <c r="AG11" i="24" s="1"/>
  <c r="AZ11" i="24"/>
  <c r="BB12" i="24"/>
  <c r="D13" i="24"/>
  <c r="X13" i="24" s="1"/>
  <c r="K14" i="24"/>
  <c r="AE14" i="24" s="1"/>
  <c r="BD14" i="24"/>
  <c r="J15" i="24"/>
  <c r="AD15" i="24" s="1"/>
  <c r="BD15" i="24"/>
  <c r="I16" i="24"/>
  <c r="AC16" i="24" s="1"/>
  <c r="AY16" i="24"/>
  <c r="BF17" i="24"/>
  <c r="H18" i="24"/>
  <c r="AB18" i="24" s="1"/>
  <c r="BA18" i="24"/>
  <c r="F19" i="24"/>
  <c r="Z19" i="24" s="1"/>
  <c r="AZ19" i="24"/>
  <c r="F20" i="24"/>
  <c r="Z20" i="24" s="1"/>
  <c r="BF20" i="24"/>
  <c r="L128" i="24"/>
  <c r="K135" i="24"/>
  <c r="L169" i="24"/>
  <c r="L149" i="24"/>
  <c r="K162" i="24"/>
  <c r="K173" i="24"/>
  <c r="L163" i="24"/>
  <c r="K148" i="24"/>
  <c r="I10" i="24"/>
  <c r="AC10" i="24" s="1"/>
  <c r="K134" i="24"/>
  <c r="L130" i="24"/>
  <c r="K121" i="24"/>
  <c r="L121" i="24"/>
  <c r="BD21" i="24"/>
  <c r="BG21" i="24"/>
  <c r="BC21" i="24"/>
  <c r="AY21" i="24"/>
  <c r="M21" i="24"/>
  <c r="AG21" i="24" s="1"/>
  <c r="J21" i="24"/>
  <c r="AD21" i="24" s="1"/>
  <c r="D21" i="24"/>
  <c r="X21" i="24" s="1"/>
  <c r="BE20" i="24"/>
  <c r="BA20" i="24"/>
  <c r="I20" i="24"/>
  <c r="AC20" i="24" s="1"/>
  <c r="E20" i="24"/>
  <c r="Y20" i="24" s="1"/>
  <c r="BG19" i="24"/>
  <c r="BC19" i="24"/>
  <c r="AY19" i="24"/>
  <c r="M19" i="24"/>
  <c r="AG19" i="24" s="1"/>
  <c r="I19" i="24"/>
  <c r="AC19" i="24" s="1"/>
  <c r="E19" i="24"/>
  <c r="Y19" i="24" s="1"/>
  <c r="BD18" i="24"/>
  <c r="AZ18" i="24"/>
  <c r="K18" i="24"/>
  <c r="AE18" i="24" s="1"/>
  <c r="G18" i="24"/>
  <c r="AA18" i="24" s="1"/>
  <c r="BE17" i="24"/>
  <c r="BA17" i="24"/>
  <c r="K17" i="24"/>
  <c r="AE17" i="24" s="1"/>
  <c r="G17" i="24"/>
  <c r="AA17" i="24" s="1"/>
  <c r="BF16" i="24"/>
  <c r="BB16" i="24"/>
  <c r="AX16" i="24"/>
  <c r="L16" i="24"/>
  <c r="AF16" i="24" s="1"/>
  <c r="H16" i="24"/>
  <c r="AB16" i="24" s="1"/>
  <c r="E16" i="24"/>
  <c r="Y16" i="24" s="1"/>
  <c r="BG15" i="24"/>
  <c r="BC15" i="24"/>
  <c r="AY15" i="24"/>
  <c r="M15" i="24"/>
  <c r="AG15" i="24" s="1"/>
  <c r="I15" i="24"/>
  <c r="AC15" i="24" s="1"/>
  <c r="E15" i="24"/>
  <c r="Y15" i="24" s="1"/>
  <c r="BG14" i="24"/>
  <c r="BC14" i="24"/>
  <c r="AY14" i="24"/>
  <c r="M14" i="24"/>
  <c r="AG14" i="24" s="1"/>
  <c r="J14" i="24"/>
  <c r="AD14" i="24" s="1"/>
  <c r="G14" i="24"/>
  <c r="AA14" i="24" s="1"/>
  <c r="BE13" i="24"/>
  <c r="BA13" i="24"/>
  <c r="K13" i="24"/>
  <c r="AE13" i="24" s="1"/>
  <c r="G13" i="24"/>
  <c r="AA13" i="24" s="1"/>
  <c r="BE12" i="24"/>
  <c r="BF21" i="24"/>
  <c r="BB21" i="24"/>
  <c r="AX21" i="24"/>
  <c r="I21" i="24"/>
  <c r="AC21" i="24" s="1"/>
  <c r="F21" i="24"/>
  <c r="Z21" i="24" s="1"/>
  <c r="BD20" i="24"/>
  <c r="AZ20" i="24"/>
  <c r="L20" i="24"/>
  <c r="AF20" i="24" s="1"/>
  <c r="H20" i="24"/>
  <c r="AB20" i="24" s="1"/>
  <c r="D20" i="24"/>
  <c r="X20" i="24" s="1"/>
  <c r="BF19" i="24"/>
  <c r="BB19" i="24"/>
  <c r="AX19" i="24"/>
  <c r="L19" i="24"/>
  <c r="AF19" i="24" s="1"/>
  <c r="H19" i="24"/>
  <c r="BG18" i="24"/>
  <c r="BC18" i="24"/>
  <c r="AY18" i="24"/>
  <c r="M18" i="24"/>
  <c r="AG18" i="24" s="1"/>
  <c r="J18" i="24"/>
  <c r="AD18" i="24" s="1"/>
  <c r="F18" i="24"/>
  <c r="Z18" i="24" s="1"/>
  <c r="BD17" i="24"/>
  <c r="AZ17" i="24"/>
  <c r="J17" i="24"/>
  <c r="AD17" i="24" s="1"/>
  <c r="F17" i="24"/>
  <c r="Z17" i="24" s="1"/>
  <c r="BE16" i="24"/>
  <c r="BA16" i="24"/>
  <c r="K16" i="24"/>
  <c r="AE16" i="24" s="1"/>
  <c r="D16" i="24"/>
  <c r="X16" i="24" s="1"/>
  <c r="BF15" i="24"/>
  <c r="BB15" i="24"/>
  <c r="AX15" i="24"/>
  <c r="L15" i="24"/>
  <c r="AF15" i="24" s="1"/>
  <c r="H15" i="24"/>
  <c r="D15" i="24"/>
  <c r="X15" i="24" s="1"/>
  <c r="BF14" i="24"/>
  <c r="BB14" i="24"/>
  <c r="AX14" i="24"/>
  <c r="L14" i="24"/>
  <c r="AF14" i="24" s="1"/>
  <c r="AU14" i="24" s="1"/>
  <c r="I14" i="24"/>
  <c r="AC14" i="24" s="1"/>
  <c r="F14" i="24"/>
  <c r="Z14" i="24" s="1"/>
  <c r="BD13" i="24"/>
  <c r="AZ13" i="24"/>
  <c r="J13" i="24"/>
  <c r="AD13" i="24" s="1"/>
  <c r="F13" i="24"/>
  <c r="Z13" i="24" s="1"/>
  <c r="BD12" i="24"/>
  <c r="AZ12" i="24"/>
  <c r="J12" i="24"/>
  <c r="AD12" i="24" s="1"/>
  <c r="G12" i="24"/>
  <c r="D12" i="24"/>
  <c r="X12" i="24" s="1"/>
  <c r="BF11" i="24"/>
  <c r="BB11" i="24"/>
  <c r="AX11" i="24"/>
  <c r="L11" i="24"/>
  <c r="AF11" i="24" s="1"/>
  <c r="H11" i="24"/>
  <c r="AB11" i="24" s="1"/>
  <c r="E11" i="24"/>
  <c r="BE10" i="24"/>
  <c r="AZ10" i="24"/>
  <c r="BE21" i="24"/>
  <c r="BA21" i="24"/>
  <c r="L21" i="24"/>
  <c r="AF21" i="24" s="1"/>
  <c r="H21" i="24"/>
  <c r="E21" i="24"/>
  <c r="Y21" i="24" s="1"/>
  <c r="BG20" i="24"/>
  <c r="BC20" i="24"/>
  <c r="AY20" i="24"/>
  <c r="BS20" i="24" s="1"/>
  <c r="K20" i="24"/>
  <c r="AE20" i="24" s="1"/>
  <c r="G20" i="24"/>
  <c r="BE19" i="24"/>
  <c r="BA19" i="24"/>
  <c r="K19" i="24"/>
  <c r="AE19" i="24" s="1"/>
  <c r="G19" i="24"/>
  <c r="D19" i="24"/>
  <c r="X19" i="24" s="1"/>
  <c r="BF18" i="24"/>
  <c r="BB18" i="24"/>
  <c r="AX18" i="24"/>
  <c r="L18" i="24"/>
  <c r="AF18" i="24" s="1"/>
  <c r="I18" i="24"/>
  <c r="AC18" i="24" s="1"/>
  <c r="E18" i="24"/>
  <c r="Y18" i="24" s="1"/>
  <c r="BG17" i="24"/>
  <c r="BC17" i="24"/>
  <c r="AY17" i="24"/>
  <c r="M17" i="24"/>
  <c r="AG17" i="24" s="1"/>
  <c r="I17" i="24"/>
  <c r="AC17" i="24" s="1"/>
  <c r="E17" i="24"/>
  <c r="Y17" i="24" s="1"/>
  <c r="BD16" i="24"/>
  <c r="AZ16" i="24"/>
  <c r="J16" i="24"/>
  <c r="AD16" i="24" s="1"/>
  <c r="G16" i="24"/>
  <c r="BE15" i="24"/>
  <c r="BA15" i="24"/>
  <c r="K15" i="24"/>
  <c r="AE15" i="24" s="1"/>
  <c r="G15" i="24"/>
  <c r="AA15" i="24" s="1"/>
  <c r="BE14" i="24"/>
  <c r="BA14" i="24"/>
  <c r="H14" i="24"/>
  <c r="E14" i="24"/>
  <c r="Y14" i="24" s="1"/>
  <c r="BG13" i="24"/>
  <c r="BC13" i="24"/>
  <c r="AY13" i="24"/>
  <c r="M13" i="24"/>
  <c r="AG13" i="24" s="1"/>
  <c r="I13" i="24"/>
  <c r="AC13" i="24" s="1"/>
  <c r="E13" i="24"/>
  <c r="Y13" i="24" s="1"/>
  <c r="BG12" i="24"/>
  <c r="BC12" i="24"/>
  <c r="AY12" i="24"/>
  <c r="M12" i="24"/>
  <c r="AG12" i="24" s="1"/>
  <c r="I12" i="24"/>
  <c r="AC12" i="24" s="1"/>
  <c r="F12" i="24"/>
  <c r="Z12" i="24" s="1"/>
  <c r="BE11" i="24"/>
  <c r="BA11" i="24"/>
  <c r="K11" i="24"/>
  <c r="AE11" i="24" s="1"/>
  <c r="G11" i="24"/>
  <c r="AA11" i="24" s="1"/>
  <c r="D11" i="24"/>
  <c r="X11" i="24" s="1"/>
  <c r="BD10" i="24"/>
  <c r="AY10" i="24"/>
  <c r="M10" i="24"/>
  <c r="AG10" i="24" s="1"/>
  <c r="H10" i="24"/>
  <c r="AB10" i="24" s="1"/>
  <c r="E10" i="24"/>
  <c r="Y10" i="24" s="1"/>
  <c r="K152" i="24"/>
  <c r="L158" i="24"/>
  <c r="L166" i="24"/>
  <c r="K171" i="24"/>
  <c r="G10" i="24"/>
  <c r="AA10" i="24" s="1"/>
  <c r="L10" i="24"/>
  <c r="AF10" i="24" s="1"/>
  <c r="BA10" i="24"/>
  <c r="BC11" i="24"/>
  <c r="H12" i="24"/>
  <c r="BF12" i="24"/>
  <c r="H13" i="24"/>
  <c r="AB13" i="24" s="1"/>
  <c r="AX13" i="24"/>
  <c r="M16" i="24"/>
  <c r="AG16" i="24" s="1"/>
  <c r="BC16" i="24"/>
  <c r="D17" i="24"/>
  <c r="X17" i="24" s="1"/>
  <c r="BE18" i="24"/>
  <c r="J19" i="24"/>
  <c r="AD19" i="24" s="1"/>
  <c r="BD19" i="24"/>
  <c r="J20" i="24"/>
  <c r="AD20" i="24" s="1"/>
  <c r="L115" i="24"/>
  <c r="K115" i="24"/>
  <c r="K142" i="24"/>
  <c r="L132" i="24"/>
  <c r="K131" i="24"/>
  <c r="L129" i="24"/>
  <c r="L152" i="24"/>
  <c r="L164" i="24"/>
  <c r="K169" i="24"/>
  <c r="BB10" i="24"/>
  <c r="I11" i="24"/>
  <c r="AC11" i="24" s="1"/>
  <c r="BD11" i="24"/>
  <c r="E12" i="24"/>
  <c r="Y12" i="24" s="1"/>
  <c r="K12" i="24"/>
  <c r="AE12" i="24" s="1"/>
  <c r="AX12" i="24"/>
  <c r="BR12" i="24" s="1"/>
  <c r="L13" i="24"/>
  <c r="AF13" i="24" s="1"/>
  <c r="BB13" i="24"/>
  <c r="D14" i="24"/>
  <c r="X14" i="24" s="1"/>
  <c r="BG16" i="24"/>
  <c r="H17" i="24"/>
  <c r="AB17" i="24" s="1"/>
  <c r="AX17" i="24"/>
  <c r="M20" i="24"/>
  <c r="AG20" i="24" s="1"/>
  <c r="AX20" i="24"/>
  <c r="G21" i="24"/>
  <c r="AA21" i="24" s="1"/>
  <c r="AZ21" i="24"/>
  <c r="BC10" i="24"/>
  <c r="BR10" i="24" s="1"/>
  <c r="K120" i="24"/>
  <c r="K144" i="24"/>
  <c r="L142" i="24"/>
  <c r="K139" i="24"/>
  <c r="L131" i="24"/>
  <c r="K157" i="24"/>
  <c r="K165" i="24"/>
  <c r="J10" i="24"/>
  <c r="AD10" i="24" s="1"/>
  <c r="BF10" i="24"/>
  <c r="J11" i="24"/>
  <c r="AD11" i="24" s="1"/>
  <c r="AY11" i="24"/>
  <c r="BG11" i="24"/>
  <c r="L12" i="24"/>
  <c r="AF12" i="24" s="1"/>
  <c r="BA12" i="24"/>
  <c r="BF13" i="24"/>
  <c r="AZ14" i="24"/>
  <c r="F15" i="24"/>
  <c r="Z15" i="24" s="1"/>
  <c r="AZ15" i="24"/>
  <c r="F16" i="24"/>
  <c r="Z16" i="24" s="1"/>
  <c r="L17" i="24"/>
  <c r="AF17" i="24" s="1"/>
  <c r="BB17" i="24"/>
  <c r="D18" i="24"/>
  <c r="X18" i="24" s="1"/>
  <c r="BB20" i="24"/>
  <c r="K21" i="24"/>
  <c r="AE21" i="24" s="1"/>
  <c r="R23" i="24"/>
  <c r="BJ23" i="24"/>
  <c r="BF30" i="24"/>
  <c r="BE31" i="24"/>
  <c r="AP34" i="24"/>
  <c r="Y34" i="24"/>
  <c r="D84" i="24" s="1"/>
  <c r="AZ34" i="24"/>
  <c r="AI32" i="24"/>
  <c r="BC32" i="24"/>
  <c r="BB32" i="24"/>
  <c r="BC31" i="24"/>
  <c r="AB34" i="24"/>
  <c r="G84" i="24" s="1"/>
  <c r="C65" i="24"/>
  <c r="E65" i="24"/>
  <c r="AA34" i="24"/>
  <c r="F84" i="24" s="1"/>
  <c r="AO34" i="24"/>
  <c r="AK32" i="24"/>
  <c r="T34" i="24"/>
  <c r="D83" i="24" s="1"/>
  <c r="R34" i="24"/>
  <c r="BO23" i="24"/>
  <c r="F34" i="24"/>
  <c r="U30" i="24"/>
  <c r="U34" i="24" s="1"/>
  <c r="E83" i="24" s="1"/>
  <c r="W31" i="24"/>
  <c r="W34" i="24" s="1"/>
  <c r="G83" i="24" s="1"/>
  <c r="Q101" i="24" s="1"/>
  <c r="H34" i="24"/>
  <c r="AU34" i="24"/>
  <c r="BK23" i="24"/>
  <c r="L114" i="24"/>
  <c r="K163" i="24"/>
  <c r="K164" i="24"/>
  <c r="K151" i="24"/>
  <c r="K161" i="24"/>
  <c r="M157" i="24"/>
  <c r="L170" i="24"/>
  <c r="L156" i="24"/>
  <c r="M170" i="24"/>
  <c r="M121" i="24"/>
  <c r="L139" i="24"/>
  <c r="L117" i="24"/>
  <c r="K129" i="24"/>
  <c r="L140" i="24"/>
  <c r="L118" i="24"/>
  <c r="K132" i="24"/>
  <c r="M133" i="24"/>
  <c r="M140" i="24"/>
  <c r="M138" i="24"/>
  <c r="K123" i="24"/>
  <c r="M123" i="24"/>
  <c r="L168" i="24"/>
  <c r="K160" i="24"/>
  <c r="K166" i="24"/>
  <c r="K158" i="24"/>
  <c r="M161" i="24"/>
  <c r="L153" i="24"/>
  <c r="M150" i="24"/>
  <c r="M120" i="24"/>
  <c r="L119" i="24"/>
  <c r="K119" i="24"/>
  <c r="L120" i="24"/>
  <c r="K122" i="24"/>
  <c r="M129" i="24"/>
  <c r="M137" i="24"/>
  <c r="L134" i="24"/>
  <c r="L160" i="24"/>
  <c r="M147" i="24"/>
  <c r="K118" i="24"/>
  <c r="BB31" i="24"/>
  <c r="AV34" i="24"/>
  <c r="AJ32" i="24"/>
  <c r="Z34" i="24"/>
  <c r="E84" i="24" s="1"/>
  <c r="BC30" i="24"/>
  <c r="BD31" i="24"/>
  <c r="AW34" i="24"/>
  <c r="BD30" i="24"/>
  <c r="AK31" i="24"/>
  <c r="AY34" i="24"/>
  <c r="BD32" i="24"/>
  <c r="V34" i="24"/>
  <c r="F83" i="24" s="1"/>
  <c r="P101" i="24" s="1"/>
  <c r="AK30" i="24"/>
  <c r="I34" i="24"/>
  <c r="AQ34" i="24"/>
  <c r="AR34" i="24"/>
  <c r="BF31" i="24"/>
  <c r="AH31" i="24"/>
  <c r="G34" i="24"/>
  <c r="BB30" i="24"/>
  <c r="K34" i="24"/>
  <c r="AI30" i="24"/>
  <c r="AO23" i="24"/>
  <c r="E82" i="24" s="1"/>
  <c r="X34" i="24"/>
  <c r="C84" i="24" s="1"/>
  <c r="AN23" i="24"/>
  <c r="D82" i="24" s="1"/>
  <c r="BH23" i="24"/>
  <c r="AF34" i="24"/>
  <c r="AL23" i="24"/>
  <c r="G81" i="24" s="1"/>
  <c r="AS34" i="24"/>
  <c r="J34" i="24"/>
  <c r="D34" i="24"/>
  <c r="BM23" i="24"/>
  <c r="BQ23" i="24"/>
  <c r="P34" i="24"/>
  <c r="AE30" i="24"/>
  <c r="O34" i="24"/>
  <c r="Q34" i="24"/>
  <c r="AC30" i="24"/>
  <c r="AC34" i="24" s="1"/>
  <c r="N34" i="24"/>
  <c r="BA34" i="24"/>
  <c r="AX34" i="24"/>
  <c r="L34" i="24"/>
  <c r="M34" i="24"/>
  <c r="BN23" i="24"/>
  <c r="AP23" i="24"/>
  <c r="F82" i="24" s="1"/>
  <c r="E34" i="24"/>
  <c r="AJ31" i="24"/>
  <c r="O23" i="24"/>
  <c r="BI23" i="24"/>
  <c r="BL23" i="24"/>
  <c r="S23" i="24"/>
  <c r="AH23" i="24"/>
  <c r="C81" i="24" s="1"/>
  <c r="N23" i="24"/>
  <c r="W23" i="24"/>
  <c r="AQ23" i="24"/>
  <c r="G82" i="24" s="1"/>
  <c r="BP23" i="24"/>
  <c r="AJ23" i="24"/>
  <c r="E81" i="24" s="1"/>
  <c r="P23" i="24"/>
  <c r="V23" i="24"/>
  <c r="U23" i="24"/>
  <c r="Q23" i="24"/>
  <c r="C8" i="26" l="1"/>
  <c r="BR13" i="24"/>
  <c r="AR20" i="24"/>
  <c r="BS17" i="24"/>
  <c r="BT15" i="24"/>
  <c r="BV21" i="24"/>
  <c r="BS18" i="24"/>
  <c r="BR21" i="24"/>
  <c r="BS21" i="24"/>
  <c r="AS13" i="24"/>
  <c r="BT18" i="24"/>
  <c r="BV16" i="24"/>
  <c r="AV16" i="24"/>
  <c r="I83" i="24"/>
  <c r="I84" i="24"/>
  <c r="I82" i="24"/>
  <c r="I81" i="24"/>
  <c r="BV13" i="24"/>
  <c r="BU18" i="24"/>
  <c r="BT10" i="24"/>
  <c r="AT19" i="24"/>
  <c r="BT19" i="24"/>
  <c r="BV10" i="24"/>
  <c r="BS13" i="24"/>
  <c r="AT13" i="24"/>
  <c r="BV14" i="24"/>
  <c r="BS19" i="24"/>
  <c r="AR16" i="24"/>
  <c r="BR17" i="24"/>
  <c r="BU16" i="24"/>
  <c r="AU13" i="24"/>
  <c r="AG23" i="24"/>
  <c r="G80" i="24" s="1"/>
  <c r="BS15" i="24"/>
  <c r="AB19" i="24"/>
  <c r="AV19" i="24" s="1"/>
  <c r="AS20" i="24"/>
  <c r="BT11" i="24"/>
  <c r="BS16" i="24"/>
  <c r="AB21" i="24"/>
  <c r="AV21" i="24" s="1"/>
  <c r="AB15" i="24"/>
  <c r="AV15" i="24" s="1"/>
  <c r="AA16" i="24"/>
  <c r="AU16" i="24" s="1"/>
  <c r="BR11" i="24"/>
  <c r="AA12" i="24"/>
  <c r="AU12" i="24" s="1"/>
  <c r="AZ23" i="24"/>
  <c r="AD23" i="24"/>
  <c r="D80" i="24" s="1"/>
  <c r="AV20" i="24"/>
  <c r="AB12" i="24"/>
  <c r="AV12" i="24" s="1"/>
  <c r="BS10" i="24"/>
  <c r="AB14" i="24"/>
  <c r="AV14" i="24" s="1"/>
  <c r="AT15" i="24"/>
  <c r="AR17" i="24"/>
  <c r="BV17" i="24"/>
  <c r="BR18" i="24"/>
  <c r="AA19" i="24"/>
  <c r="AU19" i="24" s="1"/>
  <c r="AA20" i="24"/>
  <c r="AU20" i="24" s="1"/>
  <c r="BU21" i="24"/>
  <c r="Y11" i="24"/>
  <c r="AS11" i="24" s="1"/>
  <c r="BV18" i="24"/>
  <c r="AR21" i="24"/>
  <c r="BE23" i="24"/>
  <c r="BS14" i="24"/>
  <c r="AT17" i="24"/>
  <c r="AT18" i="24"/>
  <c r="BE34" i="24"/>
  <c r="AG34" i="24"/>
  <c r="AL30" i="24"/>
  <c r="BV12" i="24"/>
  <c r="BT12" i="24"/>
  <c r="BU12" i="24"/>
  <c r="BV20" i="24"/>
  <c r="AT16" i="24"/>
  <c r="BF23" i="24"/>
  <c r="BS11" i="24"/>
  <c r="BU14" i="24"/>
  <c r="BU15" i="24"/>
  <c r="AV11" i="24"/>
  <c r="AR15" i="24"/>
  <c r="BT17" i="24"/>
  <c r="AV18" i="24"/>
  <c r="AS16" i="24"/>
  <c r="BG23" i="24"/>
  <c r="AR12" i="24"/>
  <c r="BB23" i="24"/>
  <c r="AS18" i="24"/>
  <c r="BR16" i="24"/>
  <c r="AU11" i="24"/>
  <c r="AT12" i="24"/>
  <c r="AS17" i="24"/>
  <c r="BR20" i="24"/>
  <c r="AT21" i="24"/>
  <c r="AS15" i="24"/>
  <c r="AS19" i="24"/>
  <c r="AR13" i="24"/>
  <c r="AT10" i="24"/>
  <c r="AR18" i="24"/>
  <c r="AS12" i="24"/>
  <c r="F23" i="24"/>
  <c r="AV10" i="24"/>
  <c r="AV13" i="24"/>
  <c r="AU18" i="24"/>
  <c r="AR19" i="24"/>
  <c r="H23" i="24"/>
  <c r="AR14" i="24"/>
  <c r="E23" i="24"/>
  <c r="AU17" i="24"/>
  <c r="AR11" i="24"/>
  <c r="AV17" i="24"/>
  <c r="AU21" i="24"/>
  <c r="AU15" i="24"/>
  <c r="AS14" i="24"/>
  <c r="AS21" i="24"/>
  <c r="M23" i="24"/>
  <c r="J23" i="24"/>
  <c r="I23" i="24"/>
  <c r="AE23" i="24"/>
  <c r="E80" i="24" s="1"/>
  <c r="AC23" i="24"/>
  <c r="C80" i="24" s="1"/>
  <c r="AF23" i="24"/>
  <c r="F80" i="24" s="1"/>
  <c r="L23" i="24"/>
  <c r="K23" i="24"/>
  <c r="AX23" i="24"/>
  <c r="BR15" i="24"/>
  <c r="BU20" i="24"/>
  <c r="BT14" i="24"/>
  <c r="AY23" i="24"/>
  <c r="BT21" i="24"/>
  <c r="BU11" i="24"/>
  <c r="BU19" i="24"/>
  <c r="BT13" i="24"/>
  <c r="BV15" i="24"/>
  <c r="BV19" i="24"/>
  <c r="BT20" i="24"/>
  <c r="BU10" i="24"/>
  <c r="BS12" i="24"/>
  <c r="BT16" i="24"/>
  <c r="BR14" i="24"/>
  <c r="BU17" i="24"/>
  <c r="BD23" i="24"/>
  <c r="BC23" i="24"/>
  <c r="AL31" i="24"/>
  <c r="AS10" i="24"/>
  <c r="G23" i="24"/>
  <c r="D23" i="24"/>
  <c r="X10" i="24"/>
  <c r="X23" i="24" s="1"/>
  <c r="C79" i="24" s="1"/>
  <c r="BA23" i="24"/>
  <c r="BV11" i="24"/>
  <c r="BU13" i="24"/>
  <c r="BR19" i="24"/>
  <c r="AT20" i="24"/>
  <c r="BF34" i="24"/>
  <c r="BB34" i="24"/>
  <c r="BC34" i="24"/>
  <c r="H83" i="24"/>
  <c r="H65" i="24"/>
  <c r="H84" i="24"/>
  <c r="BD34" i="24"/>
  <c r="AK34" i="24"/>
  <c r="F63" i="24" s="1"/>
  <c r="AD34" i="24"/>
  <c r="AH30" i="24"/>
  <c r="AH34" i="24" s="1"/>
  <c r="C63" i="24" s="1"/>
  <c r="AJ30" i="24"/>
  <c r="AJ34" i="24" s="1"/>
  <c r="E63" i="24" s="1"/>
  <c r="AE34" i="24"/>
  <c r="AI34" i="24"/>
  <c r="D63" i="24" s="1"/>
  <c r="AT14" i="24"/>
  <c r="AI23" i="24"/>
  <c r="D81" i="24" s="1"/>
  <c r="AM23" i="24"/>
  <c r="C82" i="24" s="1"/>
  <c r="H82" i="24" s="1"/>
  <c r="AK23" i="24"/>
  <c r="F81" i="24" s="1"/>
  <c r="AT11" i="24"/>
  <c r="Z23" i="24"/>
  <c r="E79" i="24" s="1"/>
  <c r="C61" i="24" l="1"/>
  <c r="Y23" i="24"/>
  <c r="D79" i="24" s="1"/>
  <c r="D78" i="24" s="1"/>
  <c r="N101" i="24" s="1"/>
  <c r="AL34" i="24"/>
  <c r="G63" i="24" s="1"/>
  <c r="H63" i="24" s="1"/>
  <c r="AA23" i="24"/>
  <c r="F79" i="24" s="1"/>
  <c r="F78" i="24" s="1"/>
  <c r="I79" i="24"/>
  <c r="E64" i="24"/>
  <c r="C64" i="24"/>
  <c r="BW21" i="24"/>
  <c r="BW10" i="24"/>
  <c r="BW18" i="24"/>
  <c r="F61" i="24"/>
  <c r="BW14" i="24"/>
  <c r="AB23" i="24"/>
  <c r="G79" i="24" s="1"/>
  <c r="G78" i="24" s="1"/>
  <c r="G64" i="24"/>
  <c r="D64" i="24"/>
  <c r="AW16" i="24"/>
  <c r="G62" i="24"/>
  <c r="BW16" i="24"/>
  <c r="BW17" i="24"/>
  <c r="AW12" i="24"/>
  <c r="D61" i="24"/>
  <c r="BW12" i="24"/>
  <c r="AW15" i="24"/>
  <c r="AW19" i="24"/>
  <c r="BW20" i="24"/>
  <c r="AW18" i="24"/>
  <c r="AW21" i="24"/>
  <c r="AW13" i="24"/>
  <c r="BW11" i="24"/>
  <c r="E62" i="24"/>
  <c r="BT23" i="24"/>
  <c r="BW19" i="24"/>
  <c r="AW17" i="24"/>
  <c r="BW15" i="24"/>
  <c r="BU23" i="24"/>
  <c r="F64" i="24"/>
  <c r="AV23" i="24"/>
  <c r="AS23" i="24"/>
  <c r="AR10" i="24"/>
  <c r="C62" i="24" s="1"/>
  <c r="E78" i="24"/>
  <c r="D62" i="24"/>
  <c r="BS23" i="24"/>
  <c r="BR23" i="24"/>
  <c r="BW13" i="24"/>
  <c r="BV23" i="24"/>
  <c r="AW20" i="24"/>
  <c r="AU10" i="24"/>
  <c r="F62" i="24" s="1"/>
  <c r="H81" i="24"/>
  <c r="E61" i="24"/>
  <c r="AT23" i="24"/>
  <c r="AW11" i="24"/>
  <c r="C78" i="24"/>
  <c r="M101" i="24" s="1"/>
  <c r="AW14" i="24"/>
  <c r="H61" i="24" l="1"/>
  <c r="I78" i="24"/>
  <c r="H79" i="24"/>
  <c r="H78" i="24" s="1"/>
  <c r="O101" i="24"/>
  <c r="G60" i="24"/>
  <c r="Q95" i="24" s="1"/>
  <c r="H64" i="24"/>
  <c r="BW23" i="24"/>
  <c r="AW10" i="24"/>
  <c r="AW23" i="24" s="1"/>
  <c r="C60" i="24"/>
  <c r="D60" i="24"/>
  <c r="D68" i="24" s="1"/>
  <c r="H62" i="24"/>
  <c r="AU23" i="24"/>
  <c r="AR23" i="24"/>
  <c r="E60" i="24"/>
  <c r="F60" i="24"/>
  <c r="E68" i="24" l="1"/>
  <c r="O95" i="24"/>
  <c r="F68" i="24"/>
  <c r="P95" i="24"/>
  <c r="C69" i="24"/>
  <c r="M95" i="24"/>
  <c r="F71" i="24"/>
  <c r="E71" i="24"/>
  <c r="D71" i="24"/>
  <c r="C71" i="24"/>
  <c r="F70" i="24"/>
  <c r="F72" i="24"/>
  <c r="E70" i="24"/>
  <c r="E72" i="24"/>
  <c r="N95" i="24"/>
  <c r="D70" i="24"/>
  <c r="D72" i="24"/>
  <c r="C70" i="24"/>
  <c r="C72" i="24"/>
  <c r="C68" i="24"/>
  <c r="F69" i="24"/>
  <c r="D69" i="24"/>
  <c r="E69" i="24"/>
  <c r="G72" i="24"/>
  <c r="G68" i="24"/>
  <c r="G73" i="24" s="1"/>
  <c r="G71" i="24"/>
  <c r="G69" i="24"/>
  <c r="G70" i="24"/>
  <c r="H60" i="24"/>
  <c r="C4" i="26" s="1"/>
  <c r="F73" i="24" l="1"/>
  <c r="E73" i="24"/>
  <c r="C73" i="24"/>
  <c r="H68" i="24"/>
  <c r="H72" i="24"/>
  <c r="H70" i="24"/>
  <c r="H69" i="24"/>
  <c r="H71" i="24"/>
  <c r="H73" i="24" l="1"/>
  <c r="L53" i="26"/>
  <c r="L36" i="26"/>
  <c r="L56" i="26"/>
  <c r="L46" i="26"/>
  <c r="L20" i="26"/>
  <c r="L65" i="26"/>
  <c r="L18" i="26"/>
  <c r="L30" i="26"/>
  <c r="L17" i="26"/>
  <c r="L57" i="26"/>
  <c r="L52" i="26"/>
  <c r="L22" i="26"/>
  <c r="L38" i="26"/>
  <c r="L59" i="26"/>
  <c r="L27" i="26"/>
  <c r="L23" i="26"/>
  <c r="L39" i="26"/>
  <c r="L43" i="26"/>
  <c r="L60" i="26"/>
  <c r="L51" i="26"/>
  <c r="L37" i="26"/>
  <c r="L25" i="26"/>
  <c r="L54" i="26"/>
  <c r="L32" i="26"/>
  <c r="L62" i="26"/>
  <c r="C6" i="26"/>
  <c r="L47" i="26"/>
  <c r="L42" i="26"/>
  <c r="L31" i="26"/>
  <c r="L40" i="26"/>
  <c r="L34" i="26"/>
  <c r="L64" i="26"/>
  <c r="L24" i="26"/>
  <c r="L28" i="26"/>
  <c r="L44" i="26"/>
  <c r="L48" i="26"/>
  <c r="L55" i="26"/>
  <c r="C9" i="26"/>
  <c r="L15" i="26"/>
  <c r="L67" i="26"/>
  <c r="L66" i="26"/>
  <c r="L49" i="26"/>
  <c r="L26" i="26"/>
  <c r="L63" i="26"/>
  <c r="L29" i="26"/>
  <c r="L21" i="26"/>
  <c r="L16" i="26"/>
  <c r="L19" i="26"/>
  <c r="L61" i="26"/>
  <c r="L50" i="26"/>
  <c r="L58" i="26"/>
  <c r="L41" i="26"/>
  <c r="L45" i="26"/>
  <c r="L35" i="26"/>
  <c r="L33" i="26"/>
  <c r="D7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 Yienger</author>
  </authors>
  <commentList>
    <comment ref="B6" authorId="0" shapeId="0" xr:uid="{00000000-0006-0000-0000-000001000000}">
      <text>
        <r>
          <rPr>
            <b/>
            <sz val="9"/>
            <color indexed="81"/>
            <rFont val="Tahoma"/>
            <family val="2"/>
          </rPr>
          <t>Jim Yienger:</t>
        </r>
        <r>
          <rPr>
            <sz val="9"/>
            <color indexed="81"/>
            <rFont val="Tahoma"/>
            <family val="2"/>
          </rPr>
          <t xml:space="preserve">
This is your common name for the facility or group.  It will be used in GHG reports.</t>
        </r>
      </text>
    </comment>
    <comment ref="C6" authorId="0" shapeId="0" xr:uid="{00000000-0006-0000-0000-000002000000}">
      <text>
        <r>
          <rPr>
            <b/>
            <sz val="9"/>
            <color indexed="81"/>
            <rFont val="Tahoma"/>
            <family val="2"/>
          </rPr>
          <t>Jim Yienger:</t>
        </r>
        <r>
          <rPr>
            <sz val="9"/>
            <color indexed="81"/>
            <rFont val="Tahoma"/>
            <family val="2"/>
          </rPr>
          <t xml:space="preserve">
These are common sectors used in international GHG Protocols and its good practice to assign emissions to them.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 Yienger</author>
    <author>James Yienger</author>
  </authors>
  <commentList>
    <comment ref="E6" authorId="0" shapeId="0" xr:uid="{00000000-0006-0000-0100-000001000000}">
      <text>
        <r>
          <rPr>
            <b/>
            <sz val="9"/>
            <color indexed="81"/>
            <rFont val="Tahoma"/>
            <family val="2"/>
          </rPr>
          <t>Jim Yienger:</t>
        </r>
        <r>
          <rPr>
            <sz val="9"/>
            <color indexed="81"/>
            <rFont val="Tahoma"/>
            <family val="2"/>
          </rPr>
          <t xml:space="preserve">
This is your common name for the facility or group.  It will be used in GHG reports.</t>
        </r>
      </text>
    </comment>
    <comment ref="F6" authorId="0" shapeId="0" xr:uid="{00000000-0006-0000-0100-000002000000}">
      <text>
        <r>
          <rPr>
            <b/>
            <sz val="9"/>
            <color indexed="81"/>
            <rFont val="Tahoma"/>
            <family val="2"/>
          </rPr>
          <t>Jim Yienger:</t>
        </r>
        <r>
          <rPr>
            <sz val="9"/>
            <color indexed="81"/>
            <rFont val="Tahoma"/>
            <family val="2"/>
          </rPr>
          <t xml:space="preserve">
Common Key for Facility Master List Table.  Make sure the names are the same used in the facility table.</t>
        </r>
      </text>
    </comment>
    <comment ref="B14" authorId="1" shapeId="0" xr:uid="{CD76F872-A759-4BBC-8FB8-1AD1A3A82CC5}">
      <text>
        <r>
          <rPr>
            <b/>
            <sz val="9"/>
            <color indexed="81"/>
            <rFont val="Tahoma"/>
            <family val="2"/>
          </rPr>
          <t>James Yienger:</t>
        </r>
        <r>
          <rPr>
            <sz val="9"/>
            <color indexed="81"/>
            <rFont val="Tahoma"/>
            <family val="2"/>
          </rPr>
          <t xml:space="preserve">
error - 8408 not 8404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 Yienger</author>
  </authors>
  <commentList>
    <comment ref="C3" authorId="0" shapeId="0" xr:uid="{64054891-B84A-4530-86AC-ACE940BCC4D1}">
      <text>
        <r>
          <rPr>
            <b/>
            <sz val="9"/>
            <color indexed="81"/>
            <rFont val="Tahoma"/>
            <family val="2"/>
          </rPr>
          <t>Jim Yienger:</t>
        </r>
        <r>
          <rPr>
            <sz val="9"/>
            <color indexed="81"/>
            <rFont val="Tahoma"/>
            <family val="2"/>
          </rPr>
          <t xml:space="preserve">
This is your common name for the facility or group.  It will be used in GHG reports.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 Yienger</author>
  </authors>
  <commentList>
    <comment ref="B2" authorId="0" shapeId="0" xr:uid="{9A5A2981-61CE-4C2A-9EEC-09FDFE27355E}">
      <text>
        <r>
          <rPr>
            <b/>
            <sz val="9"/>
            <color indexed="81"/>
            <rFont val="Tahoma"/>
            <family val="2"/>
          </rPr>
          <t>Jim Yienger:</t>
        </r>
        <r>
          <rPr>
            <sz val="9"/>
            <color indexed="81"/>
            <rFont val="Tahoma"/>
            <family val="2"/>
          </rPr>
          <t xml:space="preserve">
Common Key for Facility Master List Table.  Make sure the names are the same used in the facility 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 Yienger</author>
    <author>James Yienger</author>
  </authors>
  <commentList>
    <comment ref="Q1" authorId="0" shapeId="0" xr:uid="{2DEF9786-9564-4715-97BF-3EE65DB3DDA0}">
      <text>
        <r>
          <rPr>
            <b/>
            <sz val="9"/>
            <color indexed="81"/>
            <rFont val="Tahoma"/>
            <family val="2"/>
          </rPr>
          <t>Jim Yienger:</t>
        </r>
        <r>
          <rPr>
            <sz val="9"/>
            <color indexed="81"/>
            <rFont val="Tahoma"/>
            <family val="2"/>
          </rPr>
          <t xml:space="preserve">
I replaced 2017 with 2015, so the first three months of 2017 serve as a proxy for 2015 first three months.</t>
        </r>
      </text>
    </comment>
    <comment ref="T1" authorId="1" shapeId="0" xr:uid="{F423380D-BF88-42CD-A896-DE6FABAED182}">
      <text>
        <r>
          <rPr>
            <b/>
            <sz val="9"/>
            <color indexed="81"/>
            <rFont val="Tahoma"/>
            <family val="2"/>
          </rPr>
          <t>James Yienger:</t>
        </r>
        <r>
          <rPr>
            <sz val="9"/>
            <color indexed="81"/>
            <rFont val="Tahoma"/>
            <family val="2"/>
          </rPr>
          <t xml:space="preserve">
Gardiner manually entered data for 2015, and left blank records for 2016 and 2017.  CH prodived records for 2016 and 2017, this field helps reconcile overlaps.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Greg Mumby</author>
  </authors>
  <commentList>
    <comment ref="C4" authorId="0" shapeId="0" xr:uid="{7238A6B6-2B45-48BD-8F55-38C82F976C8E}">
      <text>
        <r>
          <rPr>
            <b/>
            <sz val="9"/>
            <color indexed="81"/>
            <rFont val="Tahoma"/>
            <family val="2"/>
          </rPr>
          <t xml:space="preserve">Select your region for more accurate emission rates. </t>
        </r>
      </text>
    </comment>
  </commentList>
</comments>
</file>

<file path=xl/sharedStrings.xml><?xml version="1.0" encoding="utf-8"?>
<sst xmlns="http://schemas.openxmlformats.org/spreadsheetml/2006/main" count="2665" uniqueCount="277">
  <si>
    <t>Municipality</t>
  </si>
  <si>
    <t>Account Number</t>
  </si>
  <si>
    <t>Vendor/Provider</t>
  </si>
  <si>
    <t>Energy Source</t>
  </si>
  <si>
    <t>Water delivery facilities</t>
  </si>
  <si>
    <t>Electricity</t>
  </si>
  <si>
    <t>Wastewater facilities</t>
  </si>
  <si>
    <t>Streetlights and traffic signals</t>
  </si>
  <si>
    <t>Nat Gas</t>
  </si>
  <si>
    <t>Fuel Oil</t>
  </si>
  <si>
    <t>Kerosene</t>
  </si>
  <si>
    <t>Propane</t>
  </si>
  <si>
    <t>Wood</t>
  </si>
  <si>
    <t>Year</t>
  </si>
  <si>
    <t>Month</t>
  </si>
  <si>
    <t>Department</t>
  </si>
  <si>
    <t>Gasoline Gallons</t>
  </si>
  <si>
    <t xml:space="preserve">$ Gasoline </t>
  </si>
  <si>
    <t>Diesel Gallons</t>
  </si>
  <si>
    <t xml:space="preserve"> $ Diesel </t>
  </si>
  <si>
    <t>ICLEI GHG Reporting Sector</t>
  </si>
  <si>
    <t>Address</t>
  </si>
  <si>
    <t>yes</t>
  </si>
  <si>
    <t>--</t>
  </si>
  <si>
    <t>Administration Facilities</t>
  </si>
  <si>
    <t>Reporting Categories</t>
  </si>
  <si>
    <t>Vehicle Fleet</t>
  </si>
  <si>
    <t>Solid waste facilities</t>
  </si>
  <si>
    <t>Fuel Use</t>
  </si>
  <si>
    <t>Units</t>
  </si>
  <si>
    <t>Gasoline</t>
  </si>
  <si>
    <t>Diesel</t>
  </si>
  <si>
    <t>Facility/Group Name</t>
  </si>
  <si>
    <t>Individual Facility Name</t>
  </si>
  <si>
    <t>END DATE</t>
  </si>
  <si>
    <t>READ DAYS</t>
  </si>
  <si>
    <t>READ TYPE</t>
  </si>
  <si>
    <t>SERVICE</t>
  </si>
  <si>
    <t>TOTAL KWH</t>
  </si>
  <si>
    <t>TOTAL KW</t>
  </si>
  <si>
    <t>DEMAND CHARGES</t>
  </si>
  <si>
    <t>SUPPLY CHARGES</t>
  </si>
  <si>
    <t>UTILITY CHARGES</t>
  </si>
  <si>
    <t>TOTAL CHARGES</t>
  </si>
  <si>
    <t>Central Hudson Account Number (as appears on bills)</t>
  </si>
  <si>
    <t>Description</t>
  </si>
  <si>
    <t>Costs</t>
  </si>
  <si>
    <t>Facility</t>
  </si>
  <si>
    <t>Muni</t>
  </si>
  <si>
    <t>Section 1:</t>
  </si>
  <si>
    <t>Facility Energy Use and GHG Calculations</t>
  </si>
  <si>
    <t>Consumption (KWh, Therms, and Gallons)</t>
  </si>
  <si>
    <t>Energy Costs ($)</t>
  </si>
  <si>
    <t>Natural Gas</t>
  </si>
  <si>
    <t>Totals</t>
  </si>
  <si>
    <t>Facility / Group Name</t>
  </si>
  <si>
    <t>ICLEI Category</t>
  </si>
  <si>
    <t>AVERAGE</t>
  </si>
  <si>
    <t>TOTALS</t>
  </si>
  <si>
    <t>Section 2:</t>
  </si>
  <si>
    <t>Fleet Energy Use and GHG Calculations</t>
  </si>
  <si>
    <t>Section 3:</t>
  </si>
  <si>
    <t>GHG Emissions Ranked by Facility</t>
  </si>
  <si>
    <t>Section 4:</t>
  </si>
  <si>
    <t>GHG Emissions By Administrative Function</t>
  </si>
  <si>
    <t>All Municipal Operations</t>
  </si>
  <si>
    <t>Administration facilities</t>
  </si>
  <si>
    <t>Vehicle fleet</t>
  </si>
  <si>
    <t>GHG Emission % By Function</t>
  </si>
  <si>
    <t>Section 5:</t>
  </si>
  <si>
    <t>GHG Emissions by Energy Source</t>
  </si>
  <si>
    <t>All Energy Sources</t>
  </si>
  <si>
    <t>Section 6:</t>
  </si>
  <si>
    <t>Annual GHG Emission Trends</t>
  </si>
  <si>
    <t>By Function (Select in next cell)</t>
  </si>
  <si>
    <t>By Fuel (select)</t>
  </si>
  <si>
    <t>Section 7:</t>
  </si>
  <si>
    <t>Select Energy Type (drop down)</t>
  </si>
  <si>
    <t>Chart Data</t>
  </si>
  <si>
    <t>Cost</t>
  </si>
  <si>
    <t>Num Records</t>
  </si>
  <si>
    <t>Jan</t>
  </si>
  <si>
    <t>Feb</t>
  </si>
  <si>
    <t>Mar</t>
  </si>
  <si>
    <t>Apr</t>
  </si>
  <si>
    <t>May</t>
  </si>
  <si>
    <t>Jun</t>
  </si>
  <si>
    <t>Jul</t>
  </si>
  <si>
    <t>Aug</t>
  </si>
  <si>
    <t>Sep</t>
  </si>
  <si>
    <t>Oct</t>
  </si>
  <si>
    <t>Nov</t>
  </si>
  <si>
    <t>Dec</t>
  </si>
  <si>
    <t>Sources:</t>
  </si>
  <si>
    <t>Emission Factors for Fuels</t>
  </si>
  <si>
    <t>FACTORS and SOURCES:</t>
  </si>
  <si>
    <t>Tank Fuel</t>
  </si>
  <si>
    <t>Quantity (gallons)</t>
  </si>
  <si>
    <t>Notes</t>
  </si>
  <si>
    <t>Acct#</t>
  </si>
  <si>
    <t>CAP Score Card</t>
  </si>
  <si>
    <t>Reduction Goal</t>
  </si>
  <si>
    <t>Percent Reduction From Base</t>
  </si>
  <si>
    <t>Emissions Reduction Plan Actions</t>
  </si>
  <si>
    <t>Sector</t>
  </si>
  <si>
    <t>Action</t>
  </si>
  <si>
    <t>Renewable Energy / Energy Supply</t>
  </si>
  <si>
    <t>Community Solar</t>
  </si>
  <si>
    <t>Ground source heat / geothermal</t>
  </si>
  <si>
    <t>Wind</t>
  </si>
  <si>
    <t>Energy Storage</t>
  </si>
  <si>
    <t>Energy Efficiency</t>
  </si>
  <si>
    <t>LED Lighting Retrofit</t>
  </si>
  <si>
    <t>HVAC Improvements</t>
  </si>
  <si>
    <t>WWTP Upgrades</t>
  </si>
  <si>
    <t>Building Management System</t>
  </si>
  <si>
    <t>Green Fleets</t>
  </si>
  <si>
    <t>Electric Car Procurement Policy</t>
  </si>
  <si>
    <t>Increased Fleet Fuel Efficiency</t>
  </si>
  <si>
    <t>Route Enhancements</t>
  </si>
  <si>
    <t>Solid Waste</t>
  </si>
  <si>
    <t>Composting</t>
  </si>
  <si>
    <t>Recycling</t>
  </si>
  <si>
    <t>Non-Energy GHG Reduction</t>
  </si>
  <si>
    <t>Refrigerant Replacement</t>
  </si>
  <si>
    <t>Idling Policy</t>
  </si>
  <si>
    <t>Offset 100% of electricity with green power</t>
  </si>
  <si>
    <t>Average</t>
  </si>
  <si>
    <t>Choose Grid Subregion:</t>
  </si>
  <si>
    <t>Grid Subregions</t>
  </si>
  <si>
    <t>NYS Avg.</t>
  </si>
  <si>
    <t>NYC/Westchester</t>
  </si>
  <si>
    <t>Upstate NY</t>
  </si>
  <si>
    <t>Long Island</t>
  </si>
  <si>
    <t>CO2e (lb/MWh)</t>
  </si>
  <si>
    <t>Baseline Emissions (MTCO2e)</t>
  </si>
  <si>
    <t>Required Reduction (MTCO2e)</t>
  </si>
  <si>
    <t>Total Plan Savings (MTCO2e)</t>
  </si>
  <si>
    <t>GHG Savings (MTCO2e)</t>
  </si>
  <si>
    <t>Electricity (kWh)</t>
  </si>
  <si>
    <t>Natural Gas (therms)</t>
  </si>
  <si>
    <t>Propane (gallons)</t>
  </si>
  <si>
    <t>Fuel Oil (gallons)</t>
  </si>
  <si>
    <t>Gasoline (gallons)</t>
  </si>
  <si>
    <t>Diesel (gallons)</t>
  </si>
  <si>
    <t>% Reduction From Baseline</t>
  </si>
  <si>
    <t>CO2e(kg/MWH)</t>
  </si>
  <si>
    <t>Electric CO2e (kg/MWh)</t>
  </si>
  <si>
    <t>Consumption</t>
  </si>
  <si>
    <t>Fuel Costs (USD)</t>
  </si>
  <si>
    <t>Average Energy Cost (USD)</t>
  </si>
  <si>
    <t>https://www.eia.gov/environment/emissions/co2_vol_mass.php</t>
  </si>
  <si>
    <t>https://www.epa.gov/sites/production/files/2018-02/egrid2016_data_metric.xlsx</t>
  </si>
  <si>
    <t>$ Electricity</t>
  </si>
  <si>
    <t>Monthly Electricity &amp; Gas Use and Cost by Facility</t>
  </si>
  <si>
    <t>Select Facility (click cell for drop down menu)</t>
  </si>
  <si>
    <t>Carbon Dioxide Emissions Coefficients by Fuel</t>
  </si>
  <si>
    <t xml:space="preserve">Pounds CO2 </t>
  </si>
  <si>
    <t>Kilograms CO2</t>
  </si>
  <si>
    <t>Pounds CO2</t>
  </si>
  <si>
    <t xml:space="preserve">Carbon Dioxide (CO2) Factors: </t>
  </si>
  <si>
    <t>Per Unit of Volume or Mass</t>
  </si>
  <si>
    <t>Per Million Btu</t>
  </si>
  <si>
    <t>For homes and businesses</t>
  </si>
  <si>
    <t>gallon</t>
  </si>
  <si>
    <t>Butane</t>
  </si>
  <si>
    <t>Butane/Propane Mix</t>
  </si>
  <si>
    <t>Home Heating and Diesel Fuel (Distillate)</t>
  </si>
  <si>
    <t>Coal (All types)</t>
  </si>
  <si>
    <t>short ton</t>
  </si>
  <si>
    <t>thousand cubic feet</t>
  </si>
  <si>
    <t>Residual Heating Fuel (Businesses only)</t>
  </si>
  <si>
    <t xml:space="preserve">Other transportation fuels </t>
  </si>
  <si>
    <t>Jet Fuel</t>
  </si>
  <si>
    <t>Aviation Gas</t>
  </si>
  <si>
    <t>Industrial fuels and others not listed above</t>
  </si>
  <si>
    <t>Flared natural gas</t>
  </si>
  <si>
    <t>Petroleum coke</t>
  </si>
  <si>
    <t>Other petroleum &amp; miscellaneous</t>
  </si>
  <si>
    <t>Nonfuel uses</t>
  </si>
  <si>
    <t>Asphalt and Road Oil</t>
  </si>
  <si>
    <t>Lubricants</t>
  </si>
  <si>
    <t>Petrochemical Feedstocks</t>
  </si>
  <si>
    <t>Special Naphthas (solvents)</t>
  </si>
  <si>
    <t xml:space="preserve">Waxes </t>
  </si>
  <si>
    <t>Coals by type</t>
  </si>
  <si>
    <t>Anthracite</t>
  </si>
  <si>
    <t>Bituminous</t>
  </si>
  <si>
    <t>Subbituminous</t>
  </si>
  <si>
    <t>Lignite</t>
  </si>
  <si>
    <t>Coke</t>
  </si>
  <si>
    <t>Other fuels</t>
  </si>
  <si>
    <t>Geothermal (average all generation)</t>
  </si>
  <si>
    <t>NA</t>
  </si>
  <si>
    <t>Municiple Solid Waste</t>
  </si>
  <si>
    <t>Tire-derived fuel</t>
  </si>
  <si>
    <t>Waste oil</t>
  </si>
  <si>
    <t>barrel</t>
  </si>
  <si>
    <t>Source: U.S. Energy Information Administration estimates.</t>
  </si>
  <si>
    <t>Note: To convert to carbon equivalents multiply by 12/44.</t>
  </si>
  <si>
    <t>Coefficients may vary slightly with estimation method and across time.</t>
  </si>
  <si>
    <t>https://www.dec.ny.gov/docs/administration_pdf/ghgguide.pdf</t>
  </si>
  <si>
    <t>CO2</t>
  </si>
  <si>
    <t>CH4</t>
  </si>
  <si>
    <t>N2O</t>
  </si>
  <si>
    <t>Natural Gas CO2e (kg/MMBtu)</t>
  </si>
  <si>
    <t>Liquid Propane CO2e (kg/gallons)</t>
  </si>
  <si>
    <t>Heating Oil/Diesel CO2e (kg /gallon)</t>
  </si>
  <si>
    <t>Gasoline CO2e (kg/gallon)</t>
  </si>
  <si>
    <t>Global Warming Potentials</t>
  </si>
  <si>
    <t>https://www.ghgprotocol.org/sites/default/files/ghgp/Global-Warming-Potential-Values %28Feb 16 2016%29_1.pdf</t>
  </si>
  <si>
    <t>UNFCCC Fourth Assessment Report - AR 4</t>
  </si>
  <si>
    <t>EGRID Vintage</t>
  </si>
  <si>
    <t>https://www.epa.gov/sites/production/files/2018-02/documents/egrid2016_summarytables.pdf</t>
  </si>
  <si>
    <t>GHG Emissions (MTCO2e)</t>
  </si>
  <si>
    <t xml:space="preserve">Annual GHG emissions (MTCO2e) from </t>
  </si>
  <si>
    <t>Town Hall</t>
  </si>
  <si>
    <t>Sewer District Dusinberre Road</t>
  </si>
  <si>
    <t>Sewer District Cliff View/Mare's Lane</t>
  </si>
  <si>
    <t>Sewer Plant Farmer's Turnpike</t>
  </si>
  <si>
    <t>Street Lighting #1</t>
  </si>
  <si>
    <t>Street Lighting #2</t>
  </si>
  <si>
    <t>Transfer Station</t>
  </si>
  <si>
    <t>Kennel</t>
  </si>
  <si>
    <t>Majestic Park</t>
  </si>
  <si>
    <t>Majestic Park Rec Center</t>
  </si>
  <si>
    <t>Highway Garage</t>
  </si>
  <si>
    <t>Based on $.54 per mile reimbursement</t>
  </si>
  <si>
    <t>NOTES</t>
  </si>
  <si>
    <t>8644-0055-00-1</t>
  </si>
  <si>
    <t>Town of Gardiner</t>
  </si>
  <si>
    <t>Central Hudson</t>
  </si>
  <si>
    <t>Kwh</t>
  </si>
  <si>
    <t>8408-0550-00-1</t>
  </si>
  <si>
    <t>8409-1840-00-3</t>
  </si>
  <si>
    <t>8409-1530-00-0</t>
  </si>
  <si>
    <t>8411-2820-00-0</t>
  </si>
  <si>
    <t>8411-2800-00-2</t>
  </si>
  <si>
    <t>8408-0150-00-0</t>
  </si>
  <si>
    <t>8408-0155-00-9</t>
  </si>
  <si>
    <t>8409-2010-01-0</t>
  </si>
  <si>
    <t>8409-2015-00-1</t>
  </si>
  <si>
    <t>8644-0262-00-3</t>
  </si>
  <si>
    <t>Heritage</t>
  </si>
  <si>
    <t>LP</t>
  </si>
  <si>
    <t>Gallon</t>
  </si>
  <si>
    <t>3484</t>
  </si>
  <si>
    <t>Account numbers (no spaces)</t>
  </si>
  <si>
    <t>Start Date</t>
  </si>
  <si>
    <t>Entry</t>
  </si>
  <si>
    <t>bill month</t>
  </si>
  <si>
    <t>Actual</t>
  </si>
  <si>
    <t>Manual</t>
  </si>
  <si>
    <t xml:space="preserve">ACTUAL  </t>
  </si>
  <si>
    <t>E</t>
  </si>
  <si>
    <t>Dump</t>
  </si>
  <si>
    <t>ESTIMATE</t>
  </si>
  <si>
    <t>Estimated</t>
  </si>
  <si>
    <t>7/31/20`5</t>
  </si>
  <si>
    <t>6/3//2015</t>
  </si>
  <si>
    <t>day</t>
  </si>
  <si>
    <t>NOTES: Yellow highlighted cells have no data entered</t>
  </si>
  <si>
    <t>End Date (year)</t>
  </si>
  <si>
    <t>ACTUAL</t>
  </si>
  <si>
    <t>N/A</t>
  </si>
  <si>
    <t>LED Streetlight Conversion (savings obtained from NYPA 02/19/2019)</t>
  </si>
  <si>
    <t>6/4//2018</t>
  </si>
  <si>
    <t>July</t>
  </si>
  <si>
    <t>Sept</t>
  </si>
  <si>
    <t>Oct.</t>
  </si>
  <si>
    <t>April</t>
  </si>
  <si>
    <t>Total</t>
  </si>
  <si>
    <t>Est.$ @ .20</t>
  </si>
  <si>
    <t>Est $ .105</t>
  </si>
  <si>
    <t>Est $.18</t>
  </si>
  <si>
    <t>Est. Base Ch.</t>
  </si>
  <si>
    <t>Est.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</si>
</sst>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quot;$&quot;#,##0"/>
    <numFmt numFmtId="168" formatCode="_(* #,##0.0_);_(* \(#,##0.0\);_(* &quot;-&quot;??_);_(@_)"/>
    <numFmt numFmtId="169" formatCode="#,##0.0"/>
    <numFmt numFmtId="170" formatCode="[$-F800]dddd\,\ mmmm\ dd\,\ yyyy"/>
  </numFmts>
  <fonts count="24"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9"/>
      <color indexed="81"/>
      <name val="Tahoma"/>
      <family val="2"/>
    </font>
    <font>
      <sz val="9"/>
      <color indexed="81"/>
      <name val="Tahoma"/>
      <family val="2"/>
    </font>
    <font>
      <sz val="11"/>
      <color theme="1"/>
      <name val="Calibri"/>
      <family val="2"/>
      <scheme val="minor"/>
    </font>
    <font>
      <sz val="10"/>
      <name val="Verdana"/>
      <family val="2"/>
    </font>
    <font>
      <u/>
      <sz val="10"/>
      <color indexed="12"/>
      <name val="Verdana"/>
      <family val="2"/>
    </font>
    <font>
      <b/>
      <sz val="14"/>
      <color theme="1"/>
      <name val="Calibri"/>
      <family val="2"/>
      <scheme val="minor"/>
    </font>
    <font>
      <sz val="11"/>
      <color rgb="FF7030A0"/>
      <name val="Calibri"/>
      <family val="2"/>
      <scheme val="minor"/>
    </font>
    <font>
      <i/>
      <sz val="11"/>
      <color indexed="8"/>
      <name val="Calibri"/>
      <family val="2"/>
    </font>
    <font>
      <b/>
      <u/>
      <sz val="11"/>
      <color indexed="8"/>
      <name val="Calibri"/>
      <family val="2"/>
    </font>
    <font>
      <sz val="11"/>
      <name val="Calibri"/>
      <family val="2"/>
      <scheme val="minor"/>
    </font>
    <font>
      <b/>
      <sz val="16"/>
      <color indexed="8"/>
      <name val="Calibri"/>
      <family val="2"/>
    </font>
    <font>
      <b/>
      <sz val="16"/>
      <color theme="1"/>
      <name val="Calibri"/>
      <family val="2"/>
      <scheme val="minor"/>
    </font>
    <font>
      <sz val="11"/>
      <color theme="2"/>
      <name val="Calibri"/>
      <family val="2"/>
      <scheme val="minor"/>
    </font>
    <font>
      <b/>
      <sz val="12"/>
      <color indexed="8"/>
      <name val="Calibri"/>
      <family val="2"/>
    </font>
    <font>
      <u/>
      <sz val="11"/>
      <color theme="10"/>
      <name val="Calibri"/>
      <family val="2"/>
      <scheme val="minor"/>
    </font>
    <font>
      <b/>
      <sz val="12"/>
      <color theme="4"/>
      <name val="Calibri"/>
      <family val="2"/>
      <scheme val="minor"/>
    </font>
    <font>
      <sz val="9"/>
      <color theme="1"/>
      <name val="Calibri"/>
      <family val="2"/>
      <scheme val="minor"/>
    </font>
    <font>
      <b/>
      <sz val="9"/>
      <color theme="1"/>
      <name val="Calibri"/>
      <family val="2"/>
      <scheme val="minor"/>
    </font>
    <font>
      <u/>
      <sz val="11"/>
      <color theme="10"/>
      <name val="Calibri"/>
      <family val="2"/>
    </font>
    <font>
      <b/>
      <u/>
      <sz val="11"/>
      <color theme="1"/>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rgb="FF00FFCC"/>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dashed">
        <color theme="0" tint="-0.24994659260841701"/>
      </bottom>
      <diagonal/>
    </border>
    <border>
      <left/>
      <right/>
      <top/>
      <bottom style="thin">
        <color theme="0" tint="-0.249977111117893"/>
      </bottom>
      <diagonal/>
    </border>
    <border>
      <left/>
      <right/>
      <top style="dashed">
        <color theme="0" tint="-0.24994659260841701"/>
      </top>
      <bottom style="thin">
        <color theme="0" tint="-0.249977111117893"/>
      </bottom>
      <diagonal/>
    </border>
    <border>
      <left/>
      <right/>
      <top style="medium">
        <color theme="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s>
  <cellStyleXfs count="16">
    <xf numFmtId="0" fontId="0" fillId="0" borderId="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alignment vertical="top"/>
      <protection locked="0"/>
    </xf>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xf numFmtId="0" fontId="19" fillId="0" borderId="0" applyNumberFormat="0" applyProtection="0">
      <alignment horizontal="left"/>
    </xf>
    <xf numFmtId="0" fontId="20" fillId="0" borderId="54" applyNumberFormat="0" applyFont="0" applyProtection="0">
      <alignment wrapText="1"/>
    </xf>
    <xf numFmtId="0" fontId="21" fillId="0" borderId="55" applyNumberFormat="0" applyProtection="0">
      <alignment wrapText="1"/>
    </xf>
    <xf numFmtId="0" fontId="21" fillId="0" borderId="53" applyNumberFormat="0" applyProtection="0">
      <alignment wrapText="1"/>
    </xf>
    <xf numFmtId="0" fontId="20" fillId="0" borderId="57" applyNumberFormat="0" applyProtection="0">
      <alignment vertical="top" wrapText="1"/>
    </xf>
    <xf numFmtId="0" fontId="22" fillId="0" borderId="0" applyNumberFormat="0" applyFill="0" applyBorder="0" applyAlignment="0" applyProtection="0">
      <alignment vertical="top"/>
      <protection locked="0"/>
    </xf>
  </cellStyleXfs>
  <cellXfs count="371">
    <xf numFmtId="0" fontId="0" fillId="0" borderId="0" xfId="0"/>
    <xf numFmtId="164" fontId="0" fillId="0" borderId="0" xfId="0" applyNumberFormat="1"/>
    <xf numFmtId="164" fontId="1" fillId="0" borderId="0" xfId="0" applyNumberFormat="1" applyFont="1" applyAlignment="1">
      <alignment horizontal="right"/>
    </xf>
    <xf numFmtId="14" fontId="0" fillId="0" borderId="0" xfId="0" applyNumberFormat="1" applyAlignment="1">
      <alignment horizontal="right"/>
    </xf>
    <xf numFmtId="164" fontId="0" fillId="0" borderId="0" xfId="0" applyNumberFormat="1" applyAlignment="1">
      <alignment horizontal="right"/>
    </xf>
    <xf numFmtId="0" fontId="1" fillId="0" borderId="0" xfId="0" applyFont="1" applyAlignment="1">
      <alignment horizontal="right"/>
    </xf>
    <xf numFmtId="14" fontId="1" fillId="0" borderId="0" xfId="0" applyNumberFormat="1" applyFont="1" applyAlignment="1">
      <alignment horizontal="right"/>
    </xf>
    <xf numFmtId="0" fontId="0" fillId="0" borderId="0" xfId="0" quotePrefix="1" applyAlignment="1">
      <alignment horizontal="left"/>
    </xf>
    <xf numFmtId="0" fontId="6" fillId="0" borderId="0" xfId="0" applyFont="1" applyAlignment="1">
      <alignment horizontal="left"/>
    </xf>
    <xf numFmtId="0" fontId="0" fillId="0" borderId="0" xfId="0" quotePrefix="1"/>
    <xf numFmtId="49" fontId="0" fillId="0" borderId="0" xfId="0" applyNumberFormat="1"/>
    <xf numFmtId="0" fontId="0" fillId="0" borderId="0" xfId="0" applyAlignment="1">
      <alignment horizontal="left"/>
    </xf>
    <xf numFmtId="0" fontId="0" fillId="0" borderId="0" xfId="0" applyAlignment="1">
      <alignment horizontal="right"/>
    </xf>
    <xf numFmtId="0" fontId="0" fillId="0" borderId="1" xfId="0" applyBorder="1"/>
    <xf numFmtId="0" fontId="0" fillId="0" borderId="2" xfId="0" applyBorder="1"/>
    <xf numFmtId="0" fontId="0" fillId="3" borderId="1" xfId="0" applyFill="1" applyBorder="1"/>
    <xf numFmtId="0" fontId="0" fillId="0" borderId="0" xfId="0" applyAlignment="1">
      <alignment wrapText="1"/>
    </xf>
    <xf numFmtId="0" fontId="0" fillId="0" borderId="1" xfId="0" applyBorder="1" applyAlignment="1">
      <alignment wrapText="1"/>
    </xf>
    <xf numFmtId="0" fontId="0" fillId="2" borderId="1" xfId="0" applyFill="1" applyBorder="1"/>
    <xf numFmtId="49" fontId="0" fillId="2" borderId="1" xfId="0" applyNumberFormat="1" applyFill="1" applyBorder="1"/>
    <xf numFmtId="0" fontId="0" fillId="2" borderId="11" xfId="0" applyFill="1" applyBorder="1"/>
    <xf numFmtId="0" fontId="0" fillId="0" borderId="3" xfId="0" applyBorder="1"/>
    <xf numFmtId="0" fontId="0" fillId="4" borderId="1" xfId="0" applyFill="1" applyBorder="1"/>
    <xf numFmtId="0" fontId="0" fillId="3" borderId="6" xfId="0" applyFill="1" applyBorder="1"/>
    <xf numFmtId="0" fontId="0" fillId="5" borderId="12" xfId="0" applyFill="1" applyBorder="1"/>
    <xf numFmtId="0" fontId="0" fillId="5" borderId="13" xfId="0" applyFill="1" applyBorder="1" applyAlignment="1">
      <alignment wrapText="1"/>
    </xf>
    <xf numFmtId="49" fontId="0" fillId="5" borderId="13" xfId="0" applyNumberFormat="1" applyFill="1" applyBorder="1" applyAlignment="1">
      <alignment wrapText="1"/>
    </xf>
    <xf numFmtId="0" fontId="0" fillId="5" borderId="14" xfId="0" applyFill="1" applyBorder="1" applyAlignment="1">
      <alignment wrapText="1"/>
    </xf>
    <xf numFmtId="0" fontId="0" fillId="3" borderId="16" xfId="0" applyFill="1" applyBorder="1"/>
    <xf numFmtId="0" fontId="0" fillId="0" borderId="18" xfId="0" applyBorder="1"/>
    <xf numFmtId="0" fontId="0" fillId="0" borderId="7" xfId="0" applyBorder="1"/>
    <xf numFmtId="0" fontId="0" fillId="3" borderId="9" xfId="0" applyFill="1" applyBorder="1"/>
    <xf numFmtId="0" fontId="0" fillId="0" borderId="9" xfId="0" applyBorder="1"/>
    <xf numFmtId="0" fontId="0" fillId="0" borderId="4" xfId="0" applyBorder="1" applyAlignment="1">
      <alignment horizontal="right"/>
    </xf>
    <xf numFmtId="0" fontId="0" fillId="0" borderId="1" xfId="0" applyBorder="1" applyAlignment="1">
      <alignment horizontal="right" wrapText="1"/>
    </xf>
    <xf numFmtId="0" fontId="1" fillId="6" borderId="16" xfId="0" applyFont="1" applyFill="1" applyBorder="1"/>
    <xf numFmtId="0" fontId="1" fillId="6" borderId="19" xfId="0" applyFont="1" applyFill="1" applyBorder="1"/>
    <xf numFmtId="0" fontId="0" fillId="7" borderId="20" xfId="0" applyFill="1" applyBorder="1"/>
    <xf numFmtId="0" fontId="1" fillId="7" borderId="15" xfId="0" applyFont="1" applyFill="1" applyBorder="1"/>
    <xf numFmtId="0" fontId="1" fillId="7" borderId="15" xfId="0" applyFont="1" applyFill="1" applyBorder="1" applyAlignment="1">
      <alignment horizontal="center"/>
    </xf>
    <xf numFmtId="0" fontId="1" fillId="7" borderId="1" xfId="0" applyFont="1" applyFill="1" applyBorder="1"/>
    <xf numFmtId="0" fontId="0" fillId="3" borderId="20" xfId="0" applyFill="1" applyBorder="1"/>
    <xf numFmtId="166" fontId="0" fillId="0" borderId="20" xfId="7" applyNumberFormat="1" applyFont="1" applyBorder="1" applyAlignment="1">
      <alignment horizontal="right"/>
    </xf>
    <xf numFmtId="43" fontId="0" fillId="0" borderId="1" xfId="0" applyNumberFormat="1" applyBorder="1"/>
    <xf numFmtId="44" fontId="0" fillId="0" borderId="20" xfId="6" applyFont="1" applyBorder="1" applyAlignment="1">
      <alignment horizontal="right"/>
    </xf>
    <xf numFmtId="44" fontId="0" fillId="0" borderId="16" xfId="6" applyFont="1" applyBorder="1" applyAlignment="1">
      <alignment horizontal="right"/>
    </xf>
    <xf numFmtId="44" fontId="0" fillId="0" borderId="1" xfId="6" applyFont="1" applyBorder="1"/>
    <xf numFmtId="166" fontId="0" fillId="0" borderId="16" xfId="7" applyNumberFormat="1" applyFont="1" applyBorder="1" applyAlignment="1">
      <alignment horizontal="right"/>
    </xf>
    <xf numFmtId="166" fontId="0" fillId="0" borderId="0" xfId="7" applyNumberFormat="1" applyFont="1" applyAlignment="1">
      <alignment horizontal="right"/>
    </xf>
    <xf numFmtId="2" fontId="0" fillId="0" borderId="0" xfId="0" applyNumberFormat="1"/>
    <xf numFmtId="43" fontId="0" fillId="0" borderId="0" xfId="0" applyNumberFormat="1"/>
    <xf numFmtId="166" fontId="0" fillId="0" borderId="0" xfId="0" applyNumberFormat="1"/>
    <xf numFmtId="0" fontId="0" fillId="8" borderId="1" xfId="0" applyFill="1" applyBorder="1"/>
    <xf numFmtId="0" fontId="0" fillId="6" borderId="19" xfId="0" applyFill="1" applyBorder="1"/>
    <xf numFmtId="43" fontId="0" fillId="6" borderId="19" xfId="0" applyNumberFormat="1" applyFill="1" applyBorder="1"/>
    <xf numFmtId="0" fontId="10" fillId="0" borderId="0" xfId="0" applyFont="1"/>
    <xf numFmtId="165" fontId="0" fillId="0" borderId="0" xfId="0" applyNumberFormat="1"/>
    <xf numFmtId="0" fontId="0" fillId="0" borderId="16" xfId="0" applyBorder="1"/>
    <xf numFmtId="0" fontId="1" fillId="0" borderId="1" xfId="0" applyFont="1" applyBorder="1"/>
    <xf numFmtId="165" fontId="0" fillId="0" borderId="16" xfId="0" applyNumberFormat="1" applyBorder="1"/>
    <xf numFmtId="166" fontId="0" fillId="0" borderId="6" xfId="7" applyNumberFormat="1" applyFont="1" applyBorder="1"/>
    <xf numFmtId="166" fontId="0" fillId="0" borderId="1" xfId="7" applyNumberFormat="1" applyFont="1" applyBorder="1"/>
    <xf numFmtId="44" fontId="0" fillId="0" borderId="18" xfId="6" applyFont="1" applyBorder="1"/>
    <xf numFmtId="44" fontId="0" fillId="0" borderId="7" xfId="6" applyFont="1" applyBorder="1"/>
    <xf numFmtId="166" fontId="0" fillId="0" borderId="0" xfId="7" applyNumberFormat="1" applyFont="1"/>
    <xf numFmtId="166" fontId="0" fillId="0" borderId="23" xfId="7" applyNumberFormat="1" applyFont="1" applyBorder="1"/>
    <xf numFmtId="166" fontId="0" fillId="0" borderId="24" xfId="7" applyNumberFormat="1" applyFont="1" applyBorder="1"/>
    <xf numFmtId="44" fontId="0" fillId="0" borderId="23" xfId="6" applyFont="1" applyBorder="1"/>
    <xf numFmtId="44" fontId="0" fillId="0" borderId="0" xfId="6" applyFont="1"/>
    <xf numFmtId="44" fontId="0" fillId="0" borderId="16" xfId="6" applyFont="1" applyBorder="1"/>
    <xf numFmtId="44" fontId="0" fillId="0" borderId="19" xfId="6" applyFont="1" applyBorder="1"/>
    <xf numFmtId="44" fontId="0" fillId="0" borderId="24" xfId="6" applyFont="1" applyBorder="1"/>
    <xf numFmtId="0" fontId="0" fillId="8" borderId="1" xfId="0" applyFill="1" applyBorder="1" applyAlignment="1">
      <alignment horizontal="left"/>
    </xf>
    <xf numFmtId="165" fontId="0" fillId="8" borderId="16" xfId="0" applyNumberFormat="1" applyFill="1" applyBorder="1"/>
    <xf numFmtId="166" fontId="0" fillId="8" borderId="8" xfId="7" applyNumberFormat="1" applyFont="1" applyFill="1" applyBorder="1"/>
    <xf numFmtId="166" fontId="0" fillId="8" borderId="9" xfId="7" applyNumberFormat="1" applyFont="1" applyFill="1" applyBorder="1"/>
    <xf numFmtId="166" fontId="0" fillId="8" borderId="10" xfId="7" applyNumberFormat="1" applyFont="1" applyFill="1" applyBorder="1"/>
    <xf numFmtId="44" fontId="0" fillId="8" borderId="25" xfId="6" applyFont="1" applyFill="1" applyBorder="1"/>
    <xf numFmtId="44" fontId="0" fillId="8" borderId="9" xfId="6" applyFont="1" applyFill="1" applyBorder="1"/>
    <xf numFmtId="44" fontId="0" fillId="8" borderId="26" xfId="6" applyFont="1" applyFill="1" applyBorder="1"/>
    <xf numFmtId="44" fontId="0" fillId="8" borderId="17" xfId="6" applyFont="1" applyFill="1" applyBorder="1"/>
    <xf numFmtId="44" fontId="0" fillId="8" borderId="10" xfId="6" applyFont="1" applyFill="1" applyBorder="1"/>
    <xf numFmtId="166" fontId="1" fillId="6" borderId="19" xfId="7" applyNumberFormat="1" applyFont="1" applyFill="1" applyBorder="1" applyAlignment="1">
      <alignment horizontal="right"/>
    </xf>
    <xf numFmtId="2" fontId="1" fillId="6" borderId="19" xfId="0" applyNumberFormat="1" applyFont="1" applyFill="1" applyBorder="1"/>
    <xf numFmtId="165" fontId="1" fillId="6" borderId="19" xfId="0" applyNumberFormat="1" applyFont="1" applyFill="1" applyBorder="1"/>
    <xf numFmtId="0" fontId="1" fillId="0" borderId="0" xfId="0" applyFont="1"/>
    <xf numFmtId="0" fontId="1" fillId="0" borderId="0" xfId="0" applyFont="1" applyAlignment="1">
      <alignment horizontal="left"/>
    </xf>
    <xf numFmtId="167" fontId="0" fillId="9" borderId="3" xfId="6" applyNumberFormat="1" applyFont="1" applyFill="1" applyBorder="1" applyAlignment="1">
      <alignment horizontal="right" vertical="center"/>
    </xf>
    <xf numFmtId="2" fontId="0" fillId="0" borderId="1" xfId="7" applyNumberFormat="1" applyFont="1" applyBorder="1" applyAlignment="1">
      <alignment horizontal="right" vertical="center"/>
    </xf>
    <xf numFmtId="0" fontId="6" fillId="8" borderId="1" xfId="0" applyFont="1" applyFill="1" applyBorder="1" applyAlignment="1">
      <alignment horizontal="left"/>
    </xf>
    <xf numFmtId="0" fontId="0" fillId="11" borderId="1" xfId="0" applyFill="1" applyBorder="1"/>
    <xf numFmtId="0" fontId="11" fillId="0" borderId="0" xfId="0" applyFont="1"/>
    <xf numFmtId="0" fontId="13" fillId="0" borderId="1" xfId="0" applyFont="1" applyBorder="1" applyAlignment="1">
      <alignment horizontal="right"/>
    </xf>
    <xf numFmtId="0" fontId="14" fillId="12" borderId="0" xfId="0" applyFont="1" applyFill="1"/>
    <xf numFmtId="0" fontId="1" fillId="13" borderId="1" xfId="0" applyFont="1" applyFill="1" applyBorder="1"/>
    <xf numFmtId="0" fontId="1" fillId="7" borderId="7" xfId="0" applyFont="1" applyFill="1" applyBorder="1"/>
    <xf numFmtId="44" fontId="0" fillId="0" borderId="30" xfId="6" applyFont="1" applyBorder="1" applyAlignment="1">
      <alignment horizontal="right"/>
    </xf>
    <xf numFmtId="0" fontId="0" fillId="0" borderId="24" xfId="0" applyBorder="1"/>
    <xf numFmtId="166" fontId="0" fillId="8" borderId="8" xfId="7" applyNumberFormat="1" applyFont="1" applyFill="1" applyBorder="1" applyAlignment="1">
      <alignment horizontal="right"/>
    </xf>
    <xf numFmtId="166" fontId="0" fillId="8" borderId="9" xfId="7" applyNumberFormat="1" applyFont="1" applyFill="1" applyBorder="1" applyAlignment="1">
      <alignment horizontal="right"/>
    </xf>
    <xf numFmtId="166" fontId="0" fillId="8" borderId="10" xfId="7" applyNumberFormat="1" applyFont="1" applyFill="1" applyBorder="1" applyAlignment="1">
      <alignment horizontal="right"/>
    </xf>
    <xf numFmtId="44" fontId="0" fillId="8" borderId="8" xfId="6" applyFont="1" applyFill="1" applyBorder="1" applyAlignment="1">
      <alignment horizontal="right"/>
    </xf>
    <xf numFmtId="44" fontId="0" fillId="8" borderId="9" xfId="6" applyFont="1" applyFill="1" applyBorder="1" applyAlignment="1">
      <alignment horizontal="right"/>
    </xf>
    <xf numFmtId="44" fontId="0" fillId="8" borderId="10" xfId="6" applyFont="1" applyFill="1" applyBorder="1" applyAlignment="1">
      <alignment horizontal="right"/>
    </xf>
    <xf numFmtId="43" fontId="0" fillId="0" borderId="23" xfId="0" applyNumberFormat="1" applyBorder="1"/>
    <xf numFmtId="0" fontId="0" fillId="8" borderId="16" xfId="0" applyFill="1" applyBorder="1"/>
    <xf numFmtId="166" fontId="0" fillId="0" borderId="30" xfId="7" applyNumberFormat="1" applyFont="1" applyBorder="1" applyAlignment="1">
      <alignment horizontal="right"/>
    </xf>
    <xf numFmtId="166" fontId="0" fillId="0" borderId="23" xfId="7" applyNumberFormat="1" applyFont="1" applyBorder="1" applyAlignment="1">
      <alignment horizontal="right"/>
    </xf>
    <xf numFmtId="2" fontId="0" fillId="0" borderId="24" xfId="0" applyNumberFormat="1" applyBorder="1"/>
    <xf numFmtId="44" fontId="0" fillId="0" borderId="34" xfId="6" applyFont="1" applyBorder="1"/>
    <xf numFmtId="166" fontId="0" fillId="0" borderId="34" xfId="7" applyNumberFormat="1" applyFont="1" applyBorder="1"/>
    <xf numFmtId="0" fontId="15" fillId="13" borderId="35" xfId="0" applyFont="1" applyFill="1" applyBorder="1" applyAlignment="1">
      <alignment horizontal="left" vertical="center"/>
    </xf>
    <xf numFmtId="0" fontId="0" fillId="13" borderId="36" xfId="0" applyFill="1" applyBorder="1"/>
    <xf numFmtId="0" fontId="0" fillId="4" borderId="36" xfId="0" applyFill="1" applyBorder="1"/>
    <xf numFmtId="0" fontId="0" fillId="4" borderId="0" xfId="0" applyFill="1"/>
    <xf numFmtId="0" fontId="1" fillId="0" borderId="38" xfId="0" applyFont="1" applyBorder="1"/>
    <xf numFmtId="0" fontId="1" fillId="0" borderId="39" xfId="0" applyFont="1" applyBorder="1"/>
    <xf numFmtId="9" fontId="0" fillId="0" borderId="40" xfId="8" applyFont="1" applyBorder="1"/>
    <xf numFmtId="0" fontId="1" fillId="0" borderId="41" xfId="0" applyFont="1" applyBorder="1"/>
    <xf numFmtId="0" fontId="1" fillId="0" borderId="26" xfId="0" applyFont="1" applyBorder="1"/>
    <xf numFmtId="9" fontId="0" fillId="0" borderId="10" xfId="8" applyFont="1" applyBorder="1"/>
    <xf numFmtId="0" fontId="0" fillId="4" borderId="43" xfId="0" applyFill="1" applyBorder="1"/>
    <xf numFmtId="0" fontId="0" fillId="4" borderId="44" xfId="0" applyFill="1" applyBorder="1"/>
    <xf numFmtId="0" fontId="9" fillId="13" borderId="0" xfId="0" applyFont="1" applyFill="1" applyAlignment="1">
      <alignment vertical="center"/>
    </xf>
    <xf numFmtId="0" fontId="0" fillId="13" borderId="0" xfId="0" applyFill="1"/>
    <xf numFmtId="0" fontId="1" fillId="14" borderId="45" xfId="0" applyFont="1" applyFill="1" applyBorder="1"/>
    <xf numFmtId="0" fontId="0" fillId="0" borderId="34" xfId="0" applyBorder="1"/>
    <xf numFmtId="0" fontId="0" fillId="0" borderId="25" xfId="0" applyBorder="1"/>
    <xf numFmtId="0" fontId="0" fillId="0" borderId="27" xfId="0" applyBorder="1"/>
    <xf numFmtId="1" fontId="0" fillId="0" borderId="33" xfId="0" applyNumberFormat="1" applyBorder="1"/>
    <xf numFmtId="1" fontId="0" fillId="0" borderId="42" xfId="0" applyNumberFormat="1" applyBorder="1"/>
    <xf numFmtId="1" fontId="0" fillId="0" borderId="22" xfId="0" applyNumberFormat="1" applyBorder="1"/>
    <xf numFmtId="166" fontId="0" fillId="4" borderId="0" xfId="7" applyNumberFormat="1" applyFont="1" applyFill="1"/>
    <xf numFmtId="166" fontId="0" fillId="4" borderId="44" xfId="7" applyNumberFormat="1" applyFont="1" applyFill="1" applyBorder="1"/>
    <xf numFmtId="166" fontId="0" fillId="13" borderId="36" xfId="7" applyNumberFormat="1" applyFont="1" applyFill="1" applyBorder="1"/>
    <xf numFmtId="166" fontId="0" fillId="13" borderId="44" xfId="7" applyNumberFormat="1" applyFont="1" applyFill="1" applyBorder="1"/>
    <xf numFmtId="166" fontId="0" fillId="0" borderId="9" xfId="7" applyNumberFormat="1" applyFont="1" applyBorder="1"/>
    <xf numFmtId="166" fontId="0" fillId="0" borderId="18" xfId="7" applyNumberFormat="1" applyFont="1" applyBorder="1"/>
    <xf numFmtId="166" fontId="0" fillId="0" borderId="27" xfId="7" applyNumberFormat="1" applyFont="1" applyBorder="1"/>
    <xf numFmtId="168" fontId="0" fillId="0" borderId="47" xfId="7" applyNumberFormat="1" applyFont="1" applyBorder="1"/>
    <xf numFmtId="166" fontId="0" fillId="0" borderId="16" xfId="7" applyNumberFormat="1" applyFont="1" applyBorder="1"/>
    <xf numFmtId="166" fontId="0" fillId="0" borderId="17" xfId="7" applyNumberFormat="1" applyFont="1" applyBorder="1"/>
    <xf numFmtId="0" fontId="0" fillId="13" borderId="44" xfId="0" applyFill="1" applyBorder="1"/>
    <xf numFmtId="0" fontId="0" fillId="13" borderId="37" xfId="0" applyFill="1" applyBorder="1"/>
    <xf numFmtId="0" fontId="0" fillId="4" borderId="24" xfId="0" applyFill="1" applyBorder="1"/>
    <xf numFmtId="0" fontId="0" fillId="4" borderId="42" xfId="0" applyFill="1" applyBorder="1"/>
    <xf numFmtId="0" fontId="0" fillId="4" borderId="21" xfId="0" applyFill="1" applyBorder="1"/>
    <xf numFmtId="0" fontId="0" fillId="0" borderId="11" xfId="0" applyBorder="1"/>
    <xf numFmtId="0" fontId="0" fillId="0" borderId="11" xfId="0" applyBorder="1" applyAlignment="1">
      <alignment horizontal="right"/>
    </xf>
    <xf numFmtId="2" fontId="0" fillId="0" borderId="11" xfId="0" applyNumberFormat="1" applyBorder="1" applyAlignment="1">
      <alignment horizontal="right"/>
    </xf>
    <xf numFmtId="44" fontId="0" fillId="0" borderId="11" xfId="0" applyNumberFormat="1" applyBorder="1" applyAlignment="1">
      <alignment horizontal="right"/>
    </xf>
    <xf numFmtId="49" fontId="0" fillId="5" borderId="49" xfId="0" applyNumberFormat="1" applyFill="1" applyBorder="1" applyAlignment="1">
      <alignment wrapText="1"/>
    </xf>
    <xf numFmtId="2" fontId="3" fillId="0" borderId="18" xfId="0" applyNumberFormat="1" applyFont="1" applyBorder="1" applyAlignment="1">
      <alignment horizontal="right" wrapText="1"/>
    </xf>
    <xf numFmtId="0" fontId="0" fillId="0" borderId="24" xfId="0" applyBorder="1" applyAlignment="1">
      <alignment wrapText="1"/>
    </xf>
    <xf numFmtId="166" fontId="0" fillId="0" borderId="1" xfId="7" applyNumberFormat="1" applyFont="1" applyBorder="1" applyAlignment="1">
      <alignment horizontal="right"/>
    </xf>
    <xf numFmtId="166" fontId="0" fillId="0" borderId="18" xfId="7" applyNumberFormat="1" applyFont="1" applyBorder="1" applyAlignment="1">
      <alignment horizontal="right"/>
    </xf>
    <xf numFmtId="168" fontId="0" fillId="0" borderId="34" xfId="7" applyNumberFormat="1" applyFont="1" applyBorder="1"/>
    <xf numFmtId="168" fontId="0" fillId="0" borderId="1" xfId="7" applyNumberFormat="1" applyFont="1" applyBorder="1"/>
    <xf numFmtId="168" fontId="0" fillId="0" borderId="7" xfId="7" applyNumberFormat="1" applyFont="1" applyBorder="1"/>
    <xf numFmtId="44" fontId="0" fillId="0" borderId="1" xfId="6" applyFont="1" applyBorder="1" applyAlignment="1">
      <alignment horizontal="right"/>
    </xf>
    <xf numFmtId="166" fontId="0" fillId="0" borderId="19" xfId="7" applyNumberFormat="1" applyFont="1" applyBorder="1"/>
    <xf numFmtId="166" fontId="0" fillId="8" borderId="25" xfId="7" applyNumberFormat="1" applyFont="1" applyFill="1" applyBorder="1"/>
    <xf numFmtId="166" fontId="0" fillId="8" borderId="26" xfId="7" applyNumberFormat="1" applyFont="1" applyFill="1" applyBorder="1"/>
    <xf numFmtId="1" fontId="1" fillId="13" borderId="1" xfId="0" applyNumberFormat="1" applyFont="1" applyFill="1" applyBorder="1"/>
    <xf numFmtId="165" fontId="1" fillId="13" borderId="16" xfId="0" applyNumberFormat="1" applyFont="1" applyFill="1" applyBorder="1"/>
    <xf numFmtId="0" fontId="1" fillId="13" borderId="1" xfId="0" applyFont="1" applyFill="1" applyBorder="1" applyAlignment="1">
      <alignment horizontal="right" vertical="center"/>
    </xf>
    <xf numFmtId="0" fontId="0" fillId="13" borderId="1" xfId="0" applyFill="1" applyBorder="1"/>
    <xf numFmtId="0" fontId="16" fillId="13" borderId="1" xfId="0" applyFont="1" applyFill="1" applyBorder="1"/>
    <xf numFmtId="0" fontId="17" fillId="12" borderId="0" xfId="0" applyFont="1" applyFill="1" applyAlignment="1">
      <alignment horizontal="right"/>
    </xf>
    <xf numFmtId="0" fontId="1" fillId="14" borderId="46" xfId="0" applyFont="1" applyFill="1" applyBorder="1" applyAlignment="1">
      <alignment wrapText="1"/>
    </xf>
    <xf numFmtId="166" fontId="1" fillId="14" borderId="29" xfId="7" applyNumberFormat="1" applyFont="1" applyFill="1" applyBorder="1" applyAlignment="1">
      <alignment wrapText="1"/>
    </xf>
    <xf numFmtId="166" fontId="1" fillId="14" borderId="11" xfId="7" applyNumberFormat="1" applyFont="1" applyFill="1" applyBorder="1" applyAlignment="1">
      <alignment wrapText="1"/>
    </xf>
    <xf numFmtId="166" fontId="1" fillId="14" borderId="15" xfId="7" applyNumberFormat="1" applyFont="1" applyFill="1" applyBorder="1" applyAlignment="1">
      <alignment wrapText="1"/>
    </xf>
    <xf numFmtId="0" fontId="0" fillId="0" borderId="48" xfId="0" applyBorder="1"/>
    <xf numFmtId="166" fontId="1" fillId="14" borderId="5" xfId="7" applyNumberFormat="1" applyFont="1" applyFill="1" applyBorder="1" applyAlignment="1">
      <alignment wrapText="1"/>
    </xf>
    <xf numFmtId="0" fontId="0" fillId="0" borderId="50" xfId="0" applyBorder="1"/>
    <xf numFmtId="0" fontId="0" fillId="4" borderId="22" xfId="0" applyFill="1" applyBorder="1"/>
    <xf numFmtId="0" fontId="1" fillId="13" borderId="16" xfId="0" applyFont="1" applyFill="1" applyBorder="1" applyAlignment="1">
      <alignment horizontal="right" vertical="center"/>
    </xf>
    <xf numFmtId="0" fontId="0" fillId="15" borderId="51" xfId="0" applyFill="1" applyBorder="1"/>
    <xf numFmtId="2" fontId="0" fillId="0" borderId="1" xfId="0" applyNumberFormat="1" applyBorder="1"/>
    <xf numFmtId="0" fontId="13" fillId="0" borderId="0" xfId="0" applyFont="1" applyAlignment="1">
      <alignment horizontal="right"/>
    </xf>
    <xf numFmtId="0" fontId="13" fillId="0" borderId="0" xfId="0" applyFont="1" applyAlignment="1">
      <alignment horizontal="left"/>
    </xf>
    <xf numFmtId="165" fontId="13" fillId="0" borderId="0" xfId="0" applyNumberFormat="1" applyFont="1" applyAlignment="1">
      <alignment horizontal="left"/>
    </xf>
    <xf numFmtId="0" fontId="18" fillId="0" borderId="0" xfId="9"/>
    <xf numFmtId="0" fontId="0" fillId="2" borderId="14" xfId="0" applyFill="1" applyBorder="1"/>
    <xf numFmtId="0" fontId="20" fillId="0" borderId="0" xfId="11" applyBorder="1">
      <alignment wrapText="1"/>
    </xf>
    <xf numFmtId="0" fontId="21" fillId="0" borderId="55" xfId="12" applyAlignment="1">
      <alignment horizontal="right" wrapText="1"/>
    </xf>
    <xf numFmtId="2" fontId="21" fillId="0" borderId="55" xfId="12" applyNumberFormat="1" applyAlignment="1">
      <alignment horizontal="right" wrapText="1"/>
    </xf>
    <xf numFmtId="0" fontId="21" fillId="0" borderId="53" xfId="13">
      <alignment wrapText="1"/>
    </xf>
    <xf numFmtId="0" fontId="21" fillId="0" borderId="53" xfId="13" applyAlignment="1">
      <alignment horizontal="right" wrapText="1"/>
    </xf>
    <xf numFmtId="2" fontId="21" fillId="0" borderId="53" xfId="13" applyNumberFormat="1" applyAlignment="1">
      <alignment horizontal="right" wrapText="1"/>
    </xf>
    <xf numFmtId="4" fontId="20" fillId="0" borderId="54" xfId="11" applyNumberFormat="1">
      <alignment wrapText="1"/>
    </xf>
    <xf numFmtId="4" fontId="20" fillId="0" borderId="0" xfId="11" applyNumberFormat="1" applyBorder="1">
      <alignment wrapText="1"/>
    </xf>
    <xf numFmtId="4" fontId="21" fillId="0" borderId="0" xfId="11" applyNumberFormat="1" applyFont="1" applyBorder="1">
      <alignment wrapText="1"/>
    </xf>
    <xf numFmtId="4" fontId="20" fillId="0" borderId="0" xfId="11" applyNumberFormat="1" applyBorder="1" applyAlignment="1">
      <alignment horizontal="right" wrapText="1"/>
    </xf>
    <xf numFmtId="169" fontId="20" fillId="0" borderId="0" xfId="11" applyNumberFormat="1" applyBorder="1">
      <alignment wrapText="1"/>
    </xf>
    <xf numFmtId="2" fontId="20" fillId="0" borderId="0" xfId="11" applyNumberFormat="1" applyBorder="1">
      <alignment wrapText="1"/>
    </xf>
    <xf numFmtId="0" fontId="19" fillId="0" borderId="0" xfId="10">
      <alignment horizontal="left"/>
    </xf>
    <xf numFmtId="2" fontId="13" fillId="0" borderId="1" xfId="7" applyNumberFormat="1" applyFont="1" applyBorder="1" applyAlignment="1">
      <alignment horizontal="left"/>
    </xf>
    <xf numFmtId="0" fontId="13" fillId="0" borderId="1" xfId="0" applyFont="1" applyFill="1" applyBorder="1" applyAlignment="1">
      <alignment horizontal="left"/>
    </xf>
    <xf numFmtId="0" fontId="23" fillId="0" borderId="0" xfId="0" applyFont="1" applyFill="1" applyAlignment="1"/>
    <xf numFmtId="0" fontId="18" fillId="0" borderId="0" xfId="9" applyFill="1" applyBorder="1" applyAlignment="1">
      <alignment horizontal="left"/>
    </xf>
    <xf numFmtId="0" fontId="1" fillId="0" borderId="0" xfId="0" applyFont="1" applyAlignment="1">
      <alignment wrapText="1"/>
    </xf>
    <xf numFmtId="49" fontId="3" fillId="0" borderId="1" xfId="0" applyNumberFormat="1" applyFont="1" applyBorder="1" applyAlignment="1">
      <alignment horizontal="right" wrapText="1"/>
    </xf>
    <xf numFmtId="49" fontId="3" fillId="16" borderId="1" xfId="0" applyNumberFormat="1" applyFont="1" applyFill="1" applyBorder="1" applyAlignment="1">
      <alignment horizontal="right" wrapText="1"/>
    </xf>
    <xf numFmtId="0" fontId="0" fillId="0" borderId="1" xfId="0" applyBorder="1" applyAlignment="1">
      <alignment horizontal="right"/>
    </xf>
    <xf numFmtId="164" fontId="0" fillId="0" borderId="1" xfId="6" applyNumberFormat="1" applyFont="1" applyBorder="1" applyAlignment="1">
      <alignment horizontal="right"/>
    </xf>
    <xf numFmtId="0" fontId="1" fillId="13" borderId="58" xfId="0" applyFont="1" applyFill="1" applyBorder="1"/>
    <xf numFmtId="0" fontId="1" fillId="13" borderId="58" xfId="0" applyFont="1" applyFill="1" applyBorder="1" applyAlignment="1">
      <alignment wrapText="1"/>
    </xf>
    <xf numFmtId="164" fontId="0" fillId="0" borderId="4" xfId="6" applyNumberFormat="1" applyFont="1" applyBorder="1" applyAlignment="1">
      <alignment horizontal="right"/>
    </xf>
    <xf numFmtId="0" fontId="0" fillId="0" borderId="4"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9" xfId="0" applyBorder="1" applyAlignment="1">
      <alignment horizontal="right"/>
    </xf>
    <xf numFmtId="164" fontId="0" fillId="0" borderId="9" xfId="6" applyNumberFormat="1" applyFont="1" applyBorder="1" applyAlignment="1">
      <alignment horizontal="right"/>
    </xf>
    <xf numFmtId="0" fontId="0" fillId="0" borderId="9" xfId="0" applyBorder="1" applyAlignment="1">
      <alignment wrapText="1"/>
    </xf>
    <xf numFmtId="0" fontId="0" fillId="0" borderId="10" xfId="0" applyBorder="1" applyAlignment="1">
      <alignment wrapText="1"/>
    </xf>
    <xf numFmtId="17" fontId="0" fillId="0" borderId="1" xfId="0" applyNumberFormat="1" applyBorder="1"/>
    <xf numFmtId="0" fontId="0" fillId="0" borderId="0" xfId="0" applyBorder="1"/>
    <xf numFmtId="2" fontId="0" fillId="0" borderId="1" xfId="0" applyNumberFormat="1" applyBorder="1" applyAlignment="1">
      <alignment horizontal="right"/>
    </xf>
    <xf numFmtId="44" fontId="0" fillId="0" borderId="1" xfId="0" applyNumberFormat="1" applyBorder="1" applyAlignment="1">
      <alignment horizontal="right"/>
    </xf>
    <xf numFmtId="164" fontId="0" fillId="4" borderId="1" xfId="6" applyNumberFormat="1" applyFont="1" applyFill="1" applyBorder="1" applyAlignment="1">
      <alignment horizontal="right"/>
    </xf>
    <xf numFmtId="0" fontId="0" fillId="3" borderId="59" xfId="0" applyFill="1" applyBorder="1"/>
    <xf numFmtId="0" fontId="0" fillId="3" borderId="11" xfId="0" applyFill="1" applyBorder="1"/>
    <xf numFmtId="164" fontId="0" fillId="4" borderId="11" xfId="6" applyNumberFormat="1" applyFont="1" applyFill="1" applyBorder="1" applyAlignment="1">
      <alignment horizontal="right"/>
    </xf>
    <xf numFmtId="0" fontId="0" fillId="0" borderId="60" xfId="0" applyBorder="1"/>
    <xf numFmtId="0" fontId="0" fillId="2" borderId="12" xfId="0" applyFill="1" applyBorder="1"/>
    <xf numFmtId="0" fontId="0" fillId="2" borderId="13" xfId="0" applyFill="1" applyBorder="1"/>
    <xf numFmtId="0" fontId="2" fillId="0" borderId="28" xfId="1" applyBorder="1"/>
    <xf numFmtId="0" fontId="2" fillId="4" borderId="0" xfId="1" applyFill="1"/>
    <xf numFmtId="0" fontId="2" fillId="0" borderId="0" xfId="1"/>
    <xf numFmtId="0" fontId="2" fillId="18" borderId="0" xfId="1" applyFill="1"/>
    <xf numFmtId="0" fontId="2" fillId="17" borderId="0" xfId="1" applyFill="1"/>
    <xf numFmtId="14" fontId="13" fillId="18" borderId="0" xfId="1" applyNumberFormat="1" applyFont="1" applyFill="1" applyAlignment="1">
      <alignment horizontal="right"/>
    </xf>
    <xf numFmtId="170" fontId="2" fillId="0" borderId="0" xfId="1" applyNumberFormat="1" applyAlignment="1">
      <alignment horizontal="right"/>
    </xf>
    <xf numFmtId="0" fontId="2" fillId="0" borderId="0" xfId="1" applyAlignment="1">
      <alignment horizontal="right"/>
    </xf>
    <xf numFmtId="0" fontId="6" fillId="0" borderId="28" xfId="1" applyFont="1" applyBorder="1"/>
    <xf numFmtId="170" fontId="6" fillId="0" borderId="28" xfId="1" applyNumberFormat="1" applyFont="1" applyBorder="1" applyAlignment="1">
      <alignment horizontal="right"/>
    </xf>
    <xf numFmtId="0" fontId="6" fillId="0" borderId="28" xfId="1" applyFont="1" applyBorder="1" applyAlignment="1">
      <alignment horizontal="right"/>
    </xf>
    <xf numFmtId="0" fontId="6" fillId="4" borderId="0" xfId="1" applyFont="1" applyFill="1"/>
    <xf numFmtId="0" fontId="6" fillId="0" borderId="0" xfId="0" applyFont="1"/>
    <xf numFmtId="14" fontId="6" fillId="4" borderId="0" xfId="1" applyNumberFormat="1" applyFont="1" applyFill="1" applyAlignment="1">
      <alignment horizontal="right"/>
    </xf>
    <xf numFmtId="0" fontId="6" fillId="17" borderId="0" xfId="1" applyFont="1" applyFill="1"/>
    <xf numFmtId="0" fontId="6" fillId="0" borderId="0" xfId="1" applyFont="1"/>
    <xf numFmtId="14" fontId="6" fillId="0" borderId="0" xfId="1" applyNumberFormat="1" applyFont="1" applyAlignment="1">
      <alignment horizontal="right"/>
    </xf>
    <xf numFmtId="2" fontId="6" fillId="4" borderId="0" xfId="1" applyNumberFormat="1" applyFont="1" applyFill="1"/>
    <xf numFmtId="0" fontId="6" fillId="18" borderId="0" xfId="1" applyFont="1" applyFill="1"/>
    <xf numFmtId="14" fontId="6" fillId="18" borderId="0" xfId="1" applyNumberFormat="1" applyFont="1" applyFill="1" applyAlignment="1">
      <alignment horizontal="right"/>
    </xf>
    <xf numFmtId="14" fontId="6" fillId="17" borderId="0" xfId="1" applyNumberFormat="1" applyFont="1" applyFill="1" applyAlignment="1">
      <alignment horizontal="right"/>
    </xf>
    <xf numFmtId="2" fontId="6" fillId="0" borderId="0" xfId="1" applyNumberFormat="1" applyFont="1"/>
    <xf numFmtId="0" fontId="6" fillId="16" borderId="0" xfId="1" applyFont="1" applyFill="1"/>
    <xf numFmtId="0" fontId="0" fillId="16" borderId="0" xfId="0" applyFill="1" applyAlignment="1"/>
    <xf numFmtId="0" fontId="0" fillId="16" borderId="34" xfId="0" applyFill="1" applyBorder="1"/>
    <xf numFmtId="0" fontId="0" fillId="16" borderId="18" xfId="0" applyFill="1" applyBorder="1"/>
    <xf numFmtId="0" fontId="0" fillId="16" borderId="1" xfId="0" applyFill="1" applyBorder="1" applyAlignment="1">
      <alignment wrapText="1"/>
    </xf>
    <xf numFmtId="168" fontId="0" fillId="16" borderId="47" xfId="7" applyNumberFormat="1" applyFont="1" applyFill="1" applyBorder="1"/>
    <xf numFmtId="166" fontId="0" fillId="16" borderId="18" xfId="7" applyNumberFormat="1" applyFont="1" applyFill="1" applyBorder="1"/>
    <xf numFmtId="166" fontId="0" fillId="16" borderId="1" xfId="7" applyNumberFormat="1" applyFont="1" applyFill="1" applyBorder="1"/>
    <xf numFmtId="166" fontId="0" fillId="16" borderId="16" xfId="7" applyNumberFormat="1" applyFont="1" applyFill="1" applyBorder="1"/>
    <xf numFmtId="0" fontId="0" fillId="16" borderId="1" xfId="0" applyFill="1" applyBorder="1"/>
    <xf numFmtId="0" fontId="0" fillId="16" borderId="48" xfId="0" applyFill="1" applyBorder="1"/>
    <xf numFmtId="0" fontId="0" fillId="0" borderId="0" xfId="0" applyFont="1"/>
    <xf numFmtId="165" fontId="0" fillId="0" borderId="1" xfId="0" applyNumberFormat="1" applyFont="1" applyBorder="1"/>
    <xf numFmtId="165" fontId="0" fillId="0" borderId="61" xfId="0" applyNumberFormat="1" applyFont="1" applyBorder="1"/>
    <xf numFmtId="165" fontId="0" fillId="0" borderId="4" xfId="0" applyNumberFormat="1" applyFont="1" applyBorder="1"/>
    <xf numFmtId="165" fontId="0" fillId="0" borderId="6" xfId="0" applyNumberFormat="1" applyFont="1" applyBorder="1"/>
    <xf numFmtId="165" fontId="0" fillId="0" borderId="8" xfId="0" applyNumberFormat="1" applyFont="1" applyBorder="1"/>
    <xf numFmtId="165" fontId="0" fillId="0" borderId="9" xfId="0" applyNumberFormat="1" applyFont="1" applyBorder="1"/>
    <xf numFmtId="165" fontId="0" fillId="0" borderId="45" xfId="0" applyNumberFormat="1" applyFont="1" applyBorder="1"/>
    <xf numFmtId="165" fontId="0" fillId="0" borderId="16" xfId="0" applyNumberFormat="1" applyFont="1" applyBorder="1"/>
    <xf numFmtId="165" fontId="0" fillId="0" borderId="17" xfId="0" applyNumberFormat="1" applyFont="1" applyBorder="1"/>
    <xf numFmtId="165" fontId="0" fillId="10" borderId="62" xfId="0" applyNumberFormat="1" applyFont="1" applyFill="1" applyBorder="1"/>
    <xf numFmtId="165" fontId="0" fillId="10" borderId="63" xfId="0" applyNumberFormat="1" applyFont="1" applyFill="1" applyBorder="1"/>
    <xf numFmtId="165" fontId="0" fillId="10" borderId="64" xfId="0" applyNumberFormat="1" applyFont="1" applyFill="1" applyBorder="1"/>
    <xf numFmtId="0" fontId="0" fillId="0" borderId="62" xfId="0" applyFont="1" applyBorder="1" applyAlignment="1">
      <alignment horizontal="left"/>
    </xf>
    <xf numFmtId="0" fontId="0" fillId="0" borderId="63" xfId="0" applyFont="1" applyBorder="1" applyAlignment="1">
      <alignment horizontal="left"/>
    </xf>
    <xf numFmtId="0" fontId="0" fillId="0" borderId="64" xfId="0" applyFont="1" applyBorder="1" applyAlignment="1">
      <alignment horizontal="left"/>
    </xf>
    <xf numFmtId="1" fontId="1" fillId="13" borderId="6" xfId="0" applyNumberFormat="1" applyFont="1" applyFill="1" applyBorder="1"/>
    <xf numFmtId="0" fontId="1" fillId="10" borderId="7" xfId="0" applyFont="1" applyFill="1" applyBorder="1" applyAlignment="1">
      <alignment horizontal="right"/>
    </xf>
    <xf numFmtId="2" fontId="1" fillId="7" borderId="8" xfId="0" applyNumberFormat="1" applyFont="1" applyFill="1" applyBorder="1"/>
    <xf numFmtId="2" fontId="1" fillId="7" borderId="9" xfId="0" applyNumberFormat="1" applyFont="1" applyFill="1" applyBorder="1"/>
    <xf numFmtId="2" fontId="1" fillId="10" borderId="10" xfId="0" applyNumberFormat="1" applyFont="1" applyFill="1" applyBorder="1"/>
    <xf numFmtId="0" fontId="1" fillId="13" borderId="3" xfId="0" applyFont="1" applyFill="1" applyBorder="1"/>
    <xf numFmtId="0" fontId="1" fillId="13" borderId="3" xfId="0" applyFont="1" applyFill="1" applyBorder="1" applyAlignment="1">
      <alignment horizontal="left"/>
    </xf>
    <xf numFmtId="9" fontId="0" fillId="10" borderId="5" xfId="8" applyFont="1" applyFill="1" applyBorder="1"/>
    <xf numFmtId="9" fontId="0" fillId="10" borderId="7" xfId="8" applyFont="1" applyFill="1" applyBorder="1"/>
    <xf numFmtId="0" fontId="1" fillId="13" borderId="35" xfId="0" applyFont="1" applyFill="1" applyBorder="1"/>
    <xf numFmtId="0" fontId="0" fillId="0" borderId="66" xfId="0" applyBorder="1"/>
    <xf numFmtId="0" fontId="1" fillId="13" borderId="6" xfId="0" applyFont="1" applyFill="1" applyBorder="1" applyAlignment="1">
      <alignment horizontal="right" vertical="center"/>
    </xf>
    <xf numFmtId="2" fontId="0" fillId="0" borderId="6" xfId="7" applyNumberFormat="1" applyFont="1" applyBorder="1" applyAlignment="1">
      <alignment horizontal="right" vertical="center"/>
    </xf>
    <xf numFmtId="167" fontId="0" fillId="0" borderId="7" xfId="6" applyNumberFormat="1" applyFont="1" applyBorder="1" applyAlignment="1">
      <alignment horizontal="right" vertical="center"/>
    </xf>
    <xf numFmtId="2" fontId="0" fillId="0" borderId="8" xfId="7" applyNumberFormat="1" applyFont="1" applyBorder="1" applyAlignment="1">
      <alignment horizontal="right" vertical="center"/>
    </xf>
    <xf numFmtId="2" fontId="0" fillId="0" borderId="9" xfId="7" applyNumberFormat="1" applyFont="1" applyBorder="1" applyAlignment="1">
      <alignment horizontal="right" vertical="center"/>
    </xf>
    <xf numFmtId="167" fontId="0" fillId="0" borderId="10" xfId="6" applyNumberFormat="1" applyFont="1" applyBorder="1" applyAlignment="1">
      <alignment horizontal="right" vertical="center"/>
    </xf>
    <xf numFmtId="2" fontId="0" fillId="0" borderId="59" xfId="7" applyNumberFormat="1" applyFont="1" applyBorder="1" applyAlignment="1">
      <alignment horizontal="right" vertical="center"/>
    </xf>
    <xf numFmtId="2" fontId="0" fillId="0" borderId="11" xfId="7" applyNumberFormat="1" applyFont="1" applyBorder="1" applyAlignment="1">
      <alignment horizontal="right" vertical="center"/>
    </xf>
    <xf numFmtId="165" fontId="1" fillId="19" borderId="8" xfId="0" applyNumberFormat="1" applyFont="1" applyFill="1" applyBorder="1" applyAlignment="1">
      <alignment horizontal="right" vertical="center"/>
    </xf>
    <xf numFmtId="165" fontId="1" fillId="19" borderId="9" xfId="0" applyNumberFormat="1" applyFont="1" applyFill="1" applyBorder="1" applyAlignment="1">
      <alignment horizontal="right" vertical="center"/>
    </xf>
    <xf numFmtId="165" fontId="1" fillId="19" borderId="17" xfId="0" applyNumberFormat="1" applyFont="1" applyFill="1" applyBorder="1" applyAlignment="1">
      <alignment horizontal="right" vertical="center"/>
    </xf>
    <xf numFmtId="0" fontId="0" fillId="3" borderId="45" xfId="0" applyFill="1" applyBorder="1"/>
    <xf numFmtId="0" fontId="0" fillId="3" borderId="17" xfId="0" applyFill="1" applyBorder="1"/>
    <xf numFmtId="0" fontId="0" fillId="0" borderId="38" xfId="0" applyBorder="1" applyAlignment="1">
      <alignment horizontal="right"/>
    </xf>
    <xf numFmtId="0" fontId="0" fillId="0" borderId="18" xfId="0" applyBorder="1" applyAlignment="1">
      <alignment horizontal="right"/>
    </xf>
    <xf numFmtId="0" fontId="0" fillId="0" borderId="27" xfId="0" applyBorder="1" applyAlignment="1">
      <alignment horizontal="right"/>
    </xf>
    <xf numFmtId="0" fontId="0" fillId="0" borderId="63" xfId="0" applyBorder="1" applyAlignment="1">
      <alignment horizontal="right"/>
    </xf>
    <xf numFmtId="0" fontId="0" fillId="0" borderId="64" xfId="0" applyBorder="1" applyAlignment="1">
      <alignment horizontal="right"/>
    </xf>
    <xf numFmtId="0" fontId="1" fillId="13" borderId="20" xfId="0" applyFont="1" applyFill="1" applyBorder="1"/>
    <xf numFmtId="0" fontId="1" fillId="13" borderId="67" xfId="0" applyFont="1" applyFill="1" applyBorder="1"/>
    <xf numFmtId="0" fontId="0" fillId="0" borderId="65" xfId="0" applyBorder="1" applyAlignment="1">
      <alignment horizontal="right"/>
    </xf>
    <xf numFmtId="0" fontId="6" fillId="4" borderId="0" xfId="1" applyFont="1" applyFill="1" applyBorder="1" applyAlignment="1">
      <alignment wrapText="1"/>
    </xf>
    <xf numFmtId="0" fontId="6" fillId="4" borderId="0" xfId="1" applyFont="1" applyFill="1" applyBorder="1"/>
    <xf numFmtId="0" fontId="2" fillId="4" borderId="0" xfId="1" applyFill="1" applyBorder="1"/>
    <xf numFmtId="0" fontId="0" fillId="16" borderId="0" xfId="0" applyFill="1"/>
    <xf numFmtId="0" fontId="0" fillId="3" borderId="15" xfId="0" applyFill="1" applyBorder="1"/>
    <xf numFmtId="0" fontId="0" fillId="0" borderId="29" xfId="0" applyBorder="1" applyAlignment="1">
      <alignment horizontal="right"/>
    </xf>
    <xf numFmtId="164" fontId="0" fillId="0" borderId="11" xfId="6" applyNumberFormat="1" applyFont="1" applyBorder="1" applyAlignment="1">
      <alignment horizontal="right"/>
    </xf>
    <xf numFmtId="0" fontId="0" fillId="0" borderId="11" xfId="0" applyBorder="1" applyAlignment="1">
      <alignment wrapText="1"/>
    </xf>
    <xf numFmtId="0" fontId="0" fillId="0" borderId="60" xfId="0" applyBorder="1" applyAlignment="1">
      <alignment wrapText="1"/>
    </xf>
    <xf numFmtId="0" fontId="6" fillId="0" borderId="0" xfId="1" applyFont="1" applyFill="1"/>
    <xf numFmtId="14" fontId="2" fillId="0" borderId="0" xfId="1" applyNumberFormat="1" applyAlignment="1">
      <alignment horizontal="right"/>
    </xf>
    <xf numFmtId="0" fontId="2" fillId="0" borderId="0" xfId="1" applyFill="1"/>
    <xf numFmtId="2" fontId="2" fillId="0" borderId="0" xfId="1" applyNumberFormat="1"/>
    <xf numFmtId="10" fontId="0" fillId="0" borderId="61" xfId="8" applyNumberFormat="1" applyFont="1" applyBorder="1"/>
    <xf numFmtId="10" fontId="0" fillId="0" borderId="6" xfId="8" applyNumberFormat="1" applyFont="1" applyBorder="1"/>
    <xf numFmtId="0" fontId="1" fillId="6" borderId="28" xfId="0" applyFont="1" applyFill="1" applyBorder="1" applyAlignment="1">
      <alignment horizontal="left"/>
    </xf>
    <xf numFmtId="0" fontId="0" fillId="0" borderId="66" xfId="0" applyFont="1" applyBorder="1" applyAlignment="1">
      <alignment horizontal="left"/>
    </xf>
    <xf numFmtId="0" fontId="0" fillId="0" borderId="34" xfId="0" applyFont="1" applyBorder="1" applyAlignment="1">
      <alignment horizontal="left"/>
    </xf>
    <xf numFmtId="0" fontId="0" fillId="0" borderId="25" xfId="0" applyFont="1" applyBorder="1" applyAlignment="1">
      <alignment horizontal="left"/>
    </xf>
    <xf numFmtId="0" fontId="6" fillId="0" borderId="43" xfId="0" applyFont="1" applyBorder="1" applyAlignment="1">
      <alignment horizontal="left"/>
    </xf>
    <xf numFmtId="0" fontId="1" fillId="6" borderId="28" xfId="0" applyFont="1" applyFill="1" applyBorder="1"/>
    <xf numFmtId="9" fontId="0" fillId="0" borderId="12" xfId="8" applyFont="1" applyBorder="1"/>
    <xf numFmtId="9" fontId="0" fillId="0" borderId="13" xfId="8" applyFont="1" applyBorder="1"/>
    <xf numFmtId="14" fontId="6" fillId="11" borderId="0" xfId="1" applyNumberFormat="1" applyFont="1" applyFill="1" applyAlignment="1">
      <alignment horizontal="right"/>
    </xf>
    <xf numFmtId="0" fontId="6" fillId="11" borderId="0" xfId="1" applyFont="1" applyFill="1"/>
    <xf numFmtId="2" fontId="6" fillId="11" borderId="0" xfId="1" applyNumberFormat="1" applyFont="1" applyFill="1"/>
    <xf numFmtId="0" fontId="0" fillId="11" borderId="0" xfId="0" applyFill="1"/>
    <xf numFmtId="0" fontId="6" fillId="11" borderId="0" xfId="1" applyFont="1" applyFill="1" applyBorder="1"/>
    <xf numFmtId="0" fontId="0" fillId="11" borderId="0" xfId="0" applyFont="1" applyFill="1"/>
    <xf numFmtId="0" fontId="2" fillId="11" borderId="0" xfId="1" applyFill="1"/>
    <xf numFmtId="0" fontId="6" fillId="11" borderId="0" xfId="0" applyFont="1" applyFill="1"/>
    <xf numFmtId="165" fontId="1" fillId="0" borderId="1" xfId="0" applyNumberFormat="1" applyFont="1" applyBorder="1"/>
    <xf numFmtId="165" fontId="0" fillId="0" borderId="1" xfId="0" applyNumberFormat="1" applyBorder="1"/>
    <xf numFmtId="0" fontId="1" fillId="14" borderId="31" xfId="0" applyFont="1" applyFill="1" applyBorder="1" applyAlignment="1">
      <alignment horizontal="center"/>
    </xf>
    <xf numFmtId="0" fontId="1" fillId="14" borderId="38" xfId="0" applyFont="1" applyFill="1" applyBorder="1" applyAlignment="1">
      <alignment horizontal="center"/>
    </xf>
    <xf numFmtId="0" fontId="1" fillId="13" borderId="31" xfId="0" applyFont="1" applyFill="1" applyBorder="1" applyAlignment="1">
      <alignment horizontal="center"/>
    </xf>
    <xf numFmtId="0" fontId="1" fillId="13" borderId="32" xfId="0" applyFont="1" applyFill="1" applyBorder="1" applyAlignment="1">
      <alignment horizontal="center"/>
    </xf>
    <xf numFmtId="0" fontId="1" fillId="13" borderId="33" xfId="0" applyFont="1" applyFill="1" applyBorder="1" applyAlignment="1">
      <alignment horizontal="center"/>
    </xf>
    <xf numFmtId="0" fontId="1" fillId="13" borderId="51" xfId="0" applyFont="1" applyFill="1" applyBorder="1" applyAlignment="1">
      <alignment horizontal="center" vertical="center" wrapText="1"/>
    </xf>
    <xf numFmtId="0" fontId="1" fillId="13" borderId="52" xfId="0" applyFont="1" applyFill="1" applyBorder="1" applyAlignment="1">
      <alignment horizontal="center" vertical="center" wrapText="1"/>
    </xf>
    <xf numFmtId="165" fontId="9" fillId="0" borderId="31" xfId="0" applyNumberFormat="1" applyFont="1" applyBorder="1" applyAlignment="1">
      <alignment horizontal="center"/>
    </xf>
    <xf numFmtId="165" fontId="9" fillId="0" borderId="32" xfId="0" applyNumberFormat="1" applyFont="1" applyBorder="1" applyAlignment="1">
      <alignment horizontal="center"/>
    </xf>
    <xf numFmtId="165" fontId="9" fillId="0" borderId="33" xfId="0" applyNumberFormat="1" applyFont="1" applyBorder="1" applyAlignment="1">
      <alignment horizontal="center"/>
    </xf>
    <xf numFmtId="0" fontId="1" fillId="7" borderId="34"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48" xfId="0" applyFont="1" applyFill="1" applyBorder="1" applyAlignment="1">
      <alignment horizontal="center" vertic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1" fillId="7" borderId="16" xfId="0" applyFont="1" applyFill="1" applyBorder="1" applyAlignment="1">
      <alignment horizontal="center"/>
    </xf>
    <xf numFmtId="0" fontId="1" fillId="7" borderId="19" xfId="0" applyFont="1" applyFill="1" applyBorder="1" applyAlignment="1">
      <alignment horizontal="center"/>
    </xf>
    <xf numFmtId="0" fontId="1" fillId="7" borderId="48" xfId="0" applyFont="1" applyFill="1" applyBorder="1" applyAlignment="1">
      <alignment horizontal="center"/>
    </xf>
    <xf numFmtId="0" fontId="12" fillId="7" borderId="1" xfId="0" applyFont="1" applyFill="1" applyBorder="1" applyAlignment="1">
      <alignment horizontal="center"/>
    </xf>
    <xf numFmtId="0" fontId="21" fillId="0" borderId="57" xfId="14" applyFont="1">
      <alignment vertical="top" wrapText="1"/>
    </xf>
    <xf numFmtId="0" fontId="21" fillId="0" borderId="0" xfId="11" applyFont="1" applyBorder="1">
      <alignment wrapText="1"/>
    </xf>
    <xf numFmtId="0" fontId="20" fillId="0" borderId="0" xfId="11" applyBorder="1" applyAlignment="1">
      <alignment vertical="top" wrapText="1"/>
    </xf>
    <xf numFmtId="0" fontId="19" fillId="0" borderId="0" xfId="10">
      <alignment horizontal="left"/>
    </xf>
    <xf numFmtId="0" fontId="21" fillId="0" borderId="55" xfId="12">
      <alignment wrapText="1"/>
    </xf>
    <xf numFmtId="4" fontId="21" fillId="0" borderId="55" xfId="12" applyNumberFormat="1">
      <alignment wrapText="1"/>
    </xf>
    <xf numFmtId="4" fontId="21" fillId="0" borderId="56" xfId="12" applyNumberFormat="1" applyBorder="1">
      <alignment wrapText="1"/>
    </xf>
  </cellXfs>
  <cellStyles count="16">
    <cellStyle name="Body: normal cell" xfId="11" xr:uid="{FFA63FD0-190B-4934-A37A-D4B74D3E8310}"/>
    <cellStyle name="Comma" xfId="7" builtinId="3"/>
    <cellStyle name="Comma 2" xfId="3" xr:uid="{00000000-0005-0000-0000-000000000000}"/>
    <cellStyle name="Currency" xfId="6" builtinId="4"/>
    <cellStyle name="Footnotes: top row" xfId="14" xr:uid="{56F223BE-3179-4C26-92CC-82F57DCAEEEE}"/>
    <cellStyle name="Header: bottom row" xfId="13" xr:uid="{AC79B18D-955E-47D7-BCAA-9AEA9EAB2BF2}"/>
    <cellStyle name="Hyperlink" xfId="9" builtinId="8"/>
    <cellStyle name="Hyperlink 2" xfId="5" xr:uid="{00000000-0005-0000-0000-000002000000}"/>
    <cellStyle name="Hyperlink 3" xfId="15" xr:uid="{8030D63D-0F98-4ECE-9D4B-954531CEAB95}"/>
    <cellStyle name="Normal" xfId="0" builtinId="0"/>
    <cellStyle name="Normal 2" xfId="1" xr:uid="{00000000-0005-0000-0000-000004000000}"/>
    <cellStyle name="Normal 2 2" xfId="2" xr:uid="{00000000-0005-0000-0000-000005000000}"/>
    <cellStyle name="Parent row" xfId="12" xr:uid="{548CE328-174A-4D12-AA81-F7D0CE1DDA69}"/>
    <cellStyle name="Percent" xfId="8" builtinId="5"/>
    <cellStyle name="Percent 2" xfId="4" xr:uid="{00000000-0005-0000-0000-000006000000}"/>
    <cellStyle name="Table title" xfId="10" xr:uid="{5AC60A94-6EE8-495C-B25B-4A77A8EAD84C}"/>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Facility</a:t>
            </a:r>
            <a:r>
              <a:rPr lang="en-US" baseline="0"/>
              <a:t> GHG Emissions </a:t>
            </a:r>
            <a:r>
              <a:rPr lang="en-US"/>
              <a:t>(MTCO2e)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'GHG Inventory'!$B$10:$B$21</c:f>
              <c:strCache>
                <c:ptCount val="11"/>
                <c:pt idx="0">
                  <c:v>Town Hall</c:v>
                </c:pt>
                <c:pt idx="1">
                  <c:v>Sewer District Dusinberre Road</c:v>
                </c:pt>
                <c:pt idx="2">
                  <c:v>Sewer District Cliff View/Mare's Lane</c:v>
                </c:pt>
                <c:pt idx="3">
                  <c:v>Sewer Plant Farmer's Turnpike</c:v>
                </c:pt>
                <c:pt idx="4">
                  <c:v>Street Lighting #1</c:v>
                </c:pt>
                <c:pt idx="5">
                  <c:v>Street Lighting #2</c:v>
                </c:pt>
                <c:pt idx="6">
                  <c:v>Transfer Station</c:v>
                </c:pt>
                <c:pt idx="7">
                  <c:v>Kennel</c:v>
                </c:pt>
                <c:pt idx="8">
                  <c:v>Majestic Park</c:v>
                </c:pt>
                <c:pt idx="9">
                  <c:v>Majestic Park Rec Center</c:v>
                </c:pt>
                <c:pt idx="10">
                  <c:v>Highway Garage</c:v>
                </c:pt>
              </c:strCache>
            </c:strRef>
          </c:cat>
          <c:val>
            <c:numRef>
              <c:f>'GHG Inventory'!$AW$10:$AW$21</c:f>
              <c:numCache>
                <c:formatCode>_(* #,##0.0_);_(* \(#,##0.0\);_(* "-"??_);_(@_)</c:formatCode>
                <c:ptCount val="12"/>
                <c:pt idx="0">
                  <c:v>14.738645129999711</c:v>
                </c:pt>
                <c:pt idx="1">
                  <c:v>0.28156420500000001</c:v>
                </c:pt>
                <c:pt idx="2">
                  <c:v>0.77767429350000006</c:v>
                </c:pt>
                <c:pt idx="3">
                  <c:v>0.64206035399999994</c:v>
                </c:pt>
                <c:pt idx="4">
                  <c:v>4.0898291459999996</c:v>
                </c:pt>
                <c:pt idx="5">
                  <c:v>1.3467762944999999</c:v>
                </c:pt>
                <c:pt idx="6">
                  <c:v>0.70676307000000005</c:v>
                </c:pt>
                <c:pt idx="7">
                  <c:v>1.2610684755613577</c:v>
                </c:pt>
                <c:pt idx="8">
                  <c:v>0.30733790100000002</c:v>
                </c:pt>
                <c:pt idx="9">
                  <c:v>0.11859927300000001</c:v>
                </c:pt>
                <c:pt idx="10">
                  <c:v>20.227483545165423</c:v>
                </c:pt>
                <c:pt idx="11">
                  <c:v>0</c:v>
                </c:pt>
              </c:numCache>
            </c:numRef>
          </c:val>
          <c:extLst>
            <c:ext xmlns:c16="http://schemas.microsoft.com/office/drawing/2014/chart" uri="{C3380CC4-5D6E-409C-BE32-E72D297353CC}">
              <c16:uniqueId val="{00000000-2BCA-4E12-8808-D706481F83C2}"/>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lt1">
                  <a:lumMod val="95000"/>
                  <a:alpha val="10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Energy Cost by Fuel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943300897603504"/>
          <c:y val="0.14176045545661431"/>
          <c:w val="0.62113411566760124"/>
          <c:h val="0.74331554992126347"/>
        </c:manualLayout>
      </c:layout>
      <c:pieChart>
        <c:varyColors val="1"/>
        <c:ser>
          <c:idx val="4"/>
          <c:order val="4"/>
          <c:dPt>
            <c:idx val="0"/>
            <c:bubble3D val="0"/>
            <c:explosion val="9"/>
            <c:spPr>
              <a:solidFill>
                <a:schemeClr val="accent1"/>
              </a:solidFill>
              <a:ln w="19050">
                <a:solidFill>
                  <a:schemeClr val="lt1"/>
                </a:solidFill>
              </a:ln>
              <a:effectLst/>
            </c:spPr>
            <c:extLst>
              <c:ext xmlns:c16="http://schemas.microsoft.com/office/drawing/2014/chart" uri="{C3380CC4-5D6E-409C-BE32-E72D297353CC}">
                <c16:uniqueId val="{00000001-3368-417C-8CCD-A82635A6FD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68-417C-8CCD-A82635A6FD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68-417C-8CCD-A82635A6FD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68-417C-8CCD-A82635A6FD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68-417C-8CCD-A82635A6FDF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68-417C-8CCD-A82635A6FDF6}"/>
              </c:ext>
            </c:extLst>
          </c:dPt>
          <c:dLbls>
            <c:dLbl>
              <c:idx val="1"/>
              <c:delete val="1"/>
              <c:extLst>
                <c:ext xmlns:c15="http://schemas.microsoft.com/office/drawing/2012/chart" uri="{CE6537A1-D6FC-4f65-9D91-7224C49458BB}"/>
                <c:ext xmlns:c16="http://schemas.microsoft.com/office/drawing/2014/chart" uri="{C3380CC4-5D6E-409C-BE32-E72D297353CC}">
                  <c16:uniqueId val="{00000003-3368-417C-8CCD-A82635A6FDF6}"/>
                </c:ext>
              </c:extLst>
            </c:dLbl>
            <c:dLbl>
              <c:idx val="2"/>
              <c:layout>
                <c:manualLayout>
                  <c:x val="8.3512300192646172E-8"/>
                  <c:y val="-7.0180103691096108E-3"/>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7.983387867975214E-2"/>
                      <c:h val="2.8400477919871662E-2"/>
                    </c:manualLayout>
                  </c15:layout>
                </c:ext>
                <c:ext xmlns:c16="http://schemas.microsoft.com/office/drawing/2014/chart" uri="{C3380CC4-5D6E-409C-BE32-E72D297353CC}">
                  <c16:uniqueId val="{00000005-3368-417C-8CCD-A82635A6FDF6}"/>
                </c:ext>
              </c:extLst>
            </c:dLbl>
            <c:dLbl>
              <c:idx val="3"/>
              <c:layout>
                <c:manualLayout>
                  <c:x val="-0.11735700501009502"/>
                  <c:y val="-2.210877613808207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68-417C-8CCD-A82635A6FDF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'GHG Inventory'!$B$79:$B$84</c:f>
              <c:strCache>
                <c:ptCount val="6"/>
                <c:pt idx="0">
                  <c:v>Electricity</c:v>
                </c:pt>
                <c:pt idx="1">
                  <c:v>Natural Gas</c:v>
                </c:pt>
                <c:pt idx="2">
                  <c:v>Propane</c:v>
                </c:pt>
                <c:pt idx="3">
                  <c:v>Fuel Oil</c:v>
                </c:pt>
                <c:pt idx="4">
                  <c:v>Gasoline</c:v>
                </c:pt>
                <c:pt idx="5">
                  <c:v>Diesel</c:v>
                </c:pt>
              </c:strCache>
            </c:strRef>
          </c:cat>
          <c:val>
            <c:numRef>
              <c:f>'GHG Inventory'!$I$79:$I$84</c:f>
              <c:numCache>
                <c:formatCode>"$"#,##0</c:formatCode>
                <c:ptCount val="6"/>
                <c:pt idx="0">
                  <c:v>27091.367499999997</c:v>
                </c:pt>
                <c:pt idx="1">
                  <c:v>0</c:v>
                </c:pt>
                <c:pt idx="2">
                  <c:v>1735.4825000000001</c:v>
                </c:pt>
                <c:pt idx="3">
                  <c:v>3316.2049999999999</c:v>
                </c:pt>
                <c:pt idx="4">
                  <c:v>12518.805</c:v>
                </c:pt>
                <c:pt idx="5">
                  <c:v>16873.372500000001</c:v>
                </c:pt>
              </c:numCache>
            </c:numRef>
          </c:val>
          <c:extLs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0C-3368-417C-8CCD-A82635A6FDF6}"/>
            </c:ext>
          </c:extLst>
        </c:ser>
        <c:dLbls>
          <c:dLblPos val="outEnd"/>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E-3368-417C-8CCD-A82635A6FD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3368-417C-8CCD-A82635A6FD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3368-417C-8CCD-A82635A6FD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3368-417C-8CCD-A82635A6FD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3368-417C-8CCD-A82635A6FDF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3368-417C-8CCD-A82635A6FD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c:ext uri="{02D57815-91ED-43cb-92C2-25804820EDAC}">
                        <c15:formulaRef>
                          <c15:sqref>'GHG Inventory'!$C$79:$C$84</c15:sqref>
                        </c15:formulaRef>
                      </c:ext>
                    </c:extLst>
                    <c:numCache>
                      <c:formatCode>0.00</c:formatCode>
                      <c:ptCount val="6"/>
                      <c:pt idx="0">
                        <c:v>18.168307872</c:v>
                      </c:pt>
                      <c:pt idx="1">
                        <c:v>0</c:v>
                      </c:pt>
                      <c:pt idx="2">
                        <c:v>12.958792844118262</c:v>
                      </c:pt>
                      <c:pt idx="3">
                        <c:v>25.415846213859982</c:v>
                      </c:pt>
                      <c:pt idx="4">
                        <c:v>36.568203158821021</c:v>
                      </c:pt>
                      <c:pt idx="5">
                        <c:v>102.45470517730945</c:v>
                      </c:pt>
                    </c:numCache>
                  </c:numRef>
                </c:val>
                <c:extLst>
                  <c:ex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19-3368-417C-8CCD-A82635A6FDF6}"/>
                  </c:ext>
                </c:extLst>
              </c15:ser>
            </c15:filteredPieSeries>
            <c15:filteredPieSeries>
              <c15:ser>
                <c:idx val="1"/>
                <c:order val="1"/>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B-3368-417C-8CCD-A82635A6FDF6}"/>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D-3368-417C-8CCD-A82635A6FDF6}"/>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F-3368-417C-8CCD-A82635A6FDF6}"/>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21-3368-417C-8CCD-A82635A6FDF6}"/>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23-3368-417C-8CCD-A82635A6FDF6}"/>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25-3368-417C-8CCD-A82635A6FD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xmlns:c15="http://schemas.microsoft.com/office/drawing/2012/chart">
                      <c:ext xmlns:c15="http://schemas.microsoft.com/office/drawing/2012/chart" uri="{02D57815-91ED-43cb-92C2-25804820EDAC}">
                        <c15:formulaRef>
                          <c15:sqref>'GHG Inventory'!$F$79:$F$84</c15:sqref>
                        </c15:formulaRef>
                      </c:ext>
                    </c:extLst>
                    <c:numCache>
                      <c:formatCode>0.00</c:formatCode>
                      <c:ptCount val="6"/>
                      <c:pt idx="0">
                        <c:v>16.982717855999997</c:v>
                      </c:pt>
                      <c:pt idx="1">
                        <c:v>0</c:v>
                      </c:pt>
                      <c:pt idx="2">
                        <c:v>9.1209332855548801</c:v>
                      </c:pt>
                      <c:pt idx="3">
                        <c:v>20.27324770708784</c:v>
                      </c:pt>
                      <c:pt idx="4">
                        <c:v>38.459521366947605</c:v>
                      </c:pt>
                      <c:pt idx="5">
                        <c:v>105.60704455189556</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26-3368-417C-8CCD-A82635A6FDF6}"/>
                  </c:ext>
                </c:extLst>
              </c15:ser>
            </c15:filteredPieSeries>
            <c15:filteredPieSeries>
              <c15:ser>
                <c:idx val="2"/>
                <c:order val="2"/>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8-3368-417C-8CCD-A82635A6FDF6}"/>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2A-3368-417C-8CCD-A82635A6FDF6}"/>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2C-3368-417C-8CCD-A82635A6FDF6}"/>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2E-3368-417C-8CCD-A82635A6FDF6}"/>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0-3368-417C-8CCD-A82635A6FDF6}"/>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32-3368-417C-8CCD-A82635A6FD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xmlns:c15="http://schemas.microsoft.com/office/drawing/2012/chart">
                      <c:ext xmlns:c15="http://schemas.microsoft.com/office/drawing/2012/chart" uri="{02D57815-91ED-43cb-92C2-25804820EDAC}">
                        <c15:formulaRef>
                          <c15:sqref>'GHG Inventory'!$G$79:$G$84</c15:sqref>
                        </c15:formulaRef>
                      </c:ext>
                    </c:extLst>
                    <c:numCache>
                      <c:formatCode>0.00</c:formatCode>
                      <c:ptCount val="6"/>
                      <c:pt idx="0">
                        <c:v>0</c:v>
                      </c:pt>
                      <c:pt idx="1">
                        <c:v>0</c:v>
                      </c:pt>
                      <c:pt idx="2">
                        <c:v>0</c:v>
                      </c:pt>
                      <c:pt idx="3">
                        <c:v>0</c:v>
                      </c:pt>
                      <c:pt idx="4">
                        <c:v>0</c:v>
                      </c:pt>
                      <c:pt idx="5">
                        <c:v>0</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33-3368-417C-8CCD-A82635A6FDF6}"/>
                  </c:ext>
                </c:extLst>
              </c15:ser>
            </c15:filteredPieSeries>
            <c15:filteredPieSeries>
              <c15:ser>
                <c:idx val="3"/>
                <c:order val="3"/>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35-3368-417C-8CCD-A82635A6FDF6}"/>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7-3368-417C-8CCD-A82635A6FDF6}"/>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9-3368-417C-8CCD-A82635A6FDF6}"/>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B-3368-417C-8CCD-A82635A6FDF6}"/>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D-3368-417C-8CCD-A82635A6FDF6}"/>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3F-3368-417C-8CCD-A82635A6FD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xmlns:c15="http://schemas.microsoft.com/office/drawing/2012/chart">
                      <c:ext xmlns:c15="http://schemas.microsoft.com/office/drawing/2012/chart" uri="{02D57815-91ED-43cb-92C2-25804820EDAC}">
                        <c15:formulaRef>
                          <c15:sqref>'GHG Inventory'!$H$79:$H$84</c15:sqref>
                        </c15:formulaRef>
                      </c:ext>
                    </c:extLst>
                    <c:numCache>
                      <c:formatCode>0.00</c:formatCode>
                      <c:ptCount val="6"/>
                      <c:pt idx="0">
                        <c:v>17.532791620499999</c:v>
                      </c:pt>
                      <c:pt idx="1">
                        <c:v>0</c:v>
                      </c:pt>
                      <c:pt idx="2">
                        <c:v>9.0047056635610687</c:v>
                      </c:pt>
                      <c:pt idx="3">
                        <c:v>17.799789315165423</c:v>
                      </c:pt>
                      <c:pt idx="4">
                        <c:v>37.680440859195699</c:v>
                      </c:pt>
                      <c:pt idx="5">
                        <c:v>93.321881971496225</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40-3368-417C-8CCD-A82635A6FDF6}"/>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'GHG Inventory'!$N$97</c:f>
          <c:strCache>
            <c:ptCount val="1"/>
            <c:pt idx="0">
              <c:v>Annual GHG emissions (MTCO2e) from All Municipal Operations</c:v>
            </c:pt>
          </c:strCache>
        </c:strRef>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8.1984892044344407E-2"/>
          <c:y val="0.39608685301209984"/>
          <c:w val="0.89384593133162649"/>
          <c:h val="0.49139215744506204"/>
        </c:manualLayout>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'GHG Inventory'!$M$94:$Q$94</c:f>
              <c:numCache>
                <c:formatCode>0.0</c:formatCode>
                <c:ptCount val="5"/>
                <c:pt idx="0">
                  <c:v>2015</c:v>
                </c:pt>
                <c:pt idx="1">
                  <c:v>2016</c:v>
                </c:pt>
                <c:pt idx="2">
                  <c:v>2017</c:v>
                </c:pt>
                <c:pt idx="3">
                  <c:v>2018</c:v>
                </c:pt>
                <c:pt idx="4">
                  <c:v>2019</c:v>
                </c:pt>
              </c:numCache>
            </c:numRef>
          </c:cat>
          <c:val>
            <c:numRef>
              <c:f>'GHG Inventory'!$M$95:$Q$95</c:f>
              <c:numCache>
                <c:formatCode>0.0</c:formatCode>
                <c:ptCount val="5"/>
                <c:pt idx="0">
                  <c:v>194.9816514901087</c:v>
                </c:pt>
                <c:pt idx="1">
                  <c:v>149.90131222480071</c:v>
                </c:pt>
                <c:pt idx="2">
                  <c:v>164.1612684692783</c:v>
                </c:pt>
                <c:pt idx="3">
                  <c:v>189.48715325548588</c:v>
                </c:pt>
                <c:pt idx="4">
                  <c:v>0</c:v>
                </c:pt>
              </c:numCache>
            </c:numRef>
          </c:val>
          <c:extLst>
            <c:ext xmlns:c16="http://schemas.microsoft.com/office/drawing/2014/chart" uri="{C3380CC4-5D6E-409C-BE32-E72D297353CC}">
              <c16:uniqueId val="{00000000-9835-4385-BE1D-2CFDCED2FBC6}"/>
            </c:ext>
          </c:extLst>
        </c:ser>
        <c:dLbls>
          <c:dLblPos val="outEnd"/>
          <c:showLegendKey val="0"/>
          <c:showVal val="1"/>
          <c:showCatName val="0"/>
          <c:showSerName val="0"/>
          <c:showPercent val="0"/>
          <c:showBubbleSize val="0"/>
        </c:dLbls>
        <c:gapWidth val="100"/>
        <c:overlap val="-24"/>
        <c:axId val="420170256"/>
        <c:axId val="420169600"/>
      </c:barChart>
      <c:catAx>
        <c:axId val="420170256"/>
        <c:scaling>
          <c:orientation val="minMax"/>
        </c:scaling>
        <c:delete val="0"/>
        <c:axPos val="b"/>
        <c:numFmt formatCode="0.0"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69600"/>
        <c:crosses val="autoZero"/>
        <c:auto val="1"/>
        <c:lblAlgn val="ctr"/>
        <c:lblOffset val="100"/>
        <c:noMultiLvlLbl val="0"/>
      </c:catAx>
      <c:valAx>
        <c:axId val="420169600"/>
        <c:scaling>
          <c:orientation val="minMax"/>
        </c:scaling>
        <c:delete val="0"/>
        <c:axPos val="l"/>
        <c:majorGridlines>
          <c:spPr>
            <a:ln w="9525" cap="flat" cmpd="sng" algn="ctr">
              <a:solidFill>
                <a:schemeClr val="lt1">
                  <a:lumMod val="95000"/>
                  <a:alpha val="1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70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'GHG Inventory'!$N$103</c:f>
          <c:strCache>
            <c:ptCount val="1"/>
            <c:pt idx="0">
              <c:v>Annual GHG emissions (MTCO2e) from Gasoline</c:v>
            </c:pt>
          </c:strCache>
        </c:strRef>
      </c:tx>
      <c:layout>
        <c:manualLayout>
          <c:xMode val="edge"/>
          <c:yMode val="edge"/>
          <c:x val="0.10445062031820454"/>
          <c:y val="8.138457473938148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Lit>
              <c:formatCode>General</c:formatCode>
              <c:ptCount val="5"/>
              <c:pt idx="0">
                <c:v>2015</c:v>
              </c:pt>
              <c:pt idx="1">
                <c:v>2016</c:v>
              </c:pt>
              <c:pt idx="2">
                <c:v>2017</c:v>
              </c:pt>
              <c:pt idx="3">
                <c:v>2018</c:v>
              </c:pt>
              <c:pt idx="4">
                <c:v>2019</c:v>
              </c:pt>
            </c:numLit>
          </c:cat>
          <c:val>
            <c:numRef>
              <c:f>'GHG Inventory'!$M$101:$Q$101</c:f>
              <c:numCache>
                <c:formatCode>0.0</c:formatCode>
                <c:ptCount val="5"/>
                <c:pt idx="0">
                  <c:v>36.568203158821021</c:v>
                </c:pt>
                <c:pt idx="1">
                  <c:v>37.787409004726449</c:v>
                </c:pt>
                <c:pt idx="2">
                  <c:v>37.906629906287712</c:v>
                </c:pt>
                <c:pt idx="3">
                  <c:v>38.459521366947605</c:v>
                </c:pt>
                <c:pt idx="4">
                  <c:v>0</c:v>
                </c:pt>
              </c:numCache>
            </c:numRef>
          </c:val>
          <c:extLst>
            <c:ext xmlns:c16="http://schemas.microsoft.com/office/drawing/2014/chart" uri="{C3380CC4-5D6E-409C-BE32-E72D297353CC}">
              <c16:uniqueId val="{00000000-DA2C-45A9-AA1A-39D661C1D871}"/>
            </c:ext>
          </c:extLst>
        </c:ser>
        <c:dLbls>
          <c:showLegendKey val="0"/>
          <c:showVal val="1"/>
          <c:showCatName val="0"/>
          <c:showSerName val="0"/>
          <c:showPercent val="0"/>
          <c:showBubbleSize val="0"/>
        </c:dLbls>
        <c:gapWidth val="100"/>
        <c:overlap val="-24"/>
        <c:axId val="420170256"/>
        <c:axId val="420169600"/>
      </c:barChart>
      <c:catAx>
        <c:axId val="420170256"/>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69600"/>
        <c:crosses val="autoZero"/>
        <c:auto val="1"/>
        <c:lblAlgn val="ctr"/>
        <c:lblOffset val="100"/>
        <c:noMultiLvlLbl val="0"/>
      </c:catAx>
      <c:valAx>
        <c:axId val="420169600"/>
        <c:scaling>
          <c:orientation val="minMax"/>
        </c:scaling>
        <c:delete val="0"/>
        <c:axPos val="l"/>
        <c:majorGridlines>
          <c:spPr>
            <a:ln w="9525" cap="flat" cmpd="sng" algn="ctr">
              <a:solidFill>
                <a:schemeClr val="lt1">
                  <a:lumMod val="95000"/>
                  <a:alpha val="10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170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GHG Emissions</a:t>
            </a:r>
            <a:r>
              <a:rPr lang="en-US" baseline="0"/>
              <a:t> by Function</a:t>
            </a:r>
            <a:r>
              <a:rPr lang="en-US"/>
              <a:t> (</a:t>
            </a:r>
            <a:r>
              <a:rPr lang="en-US" sz="1600" b="1" i="0" u="none" strike="noStrike" baseline="0">
                <a:effectLst/>
              </a:rPr>
              <a:t>MTCO2e</a:t>
            </a:r>
            <a:r>
              <a:rPr lang="en-US"/>
              <a:t>)</a:t>
            </a:r>
          </a:p>
        </c:rich>
      </c:tx>
      <c:layout>
        <c:manualLayout>
          <c:xMode val="edge"/>
          <c:yMode val="edge"/>
          <c:x val="9.4502203061721357E-2"/>
          <c:y val="1.968019680196802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'GHG Inventory'!$B$61:$B$65</c:f>
              <c:strCache>
                <c:ptCount val="5"/>
                <c:pt idx="0">
                  <c:v>Wastewater facilities</c:v>
                </c:pt>
                <c:pt idx="1">
                  <c:v>Administration facilities</c:v>
                </c:pt>
                <c:pt idx="2">
                  <c:v>Vehicle fleet</c:v>
                </c:pt>
                <c:pt idx="3">
                  <c:v>Streetlights and traffic signals</c:v>
                </c:pt>
                <c:pt idx="4">
                  <c:v>Water delivery facilities</c:v>
                </c:pt>
              </c:strCache>
            </c:strRef>
          </c:cat>
          <c:val>
            <c:numRef>
              <c:f>'GHG Inventory'!$H$61:$H$65</c:f>
              <c:numCache>
                <c:formatCode>0.0</c:formatCode>
                <c:ptCount val="5"/>
                <c:pt idx="0">
                  <c:v>1.5407837639999999</c:v>
                </c:pt>
                <c:pt idx="1">
                  <c:v>36.653134324726494</c:v>
                </c:pt>
                <c:pt idx="2">
                  <c:v>131.0023228306919</c:v>
                </c:pt>
                <c:pt idx="3">
                  <c:v>5.4366054405000002</c:v>
                </c:pt>
                <c:pt idx="4">
                  <c:v>0</c:v>
                </c:pt>
              </c:numCache>
            </c:numRef>
          </c:val>
          <c:extLst>
            <c:ext xmlns:c16="http://schemas.microsoft.com/office/drawing/2014/chart" uri="{C3380CC4-5D6E-409C-BE32-E72D297353CC}">
              <c16:uniqueId val="{00000000-95D9-4D61-9B26-4F59A9443F96}"/>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lt1">
                  <a:lumMod val="95000"/>
                  <a:alpha val="1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GHG Emissions</a:t>
            </a:r>
            <a:r>
              <a:rPr lang="en-US" baseline="0"/>
              <a:t> by Energy Type</a:t>
            </a:r>
            <a:r>
              <a:rPr lang="en-US"/>
              <a:t> (MTCO2e)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'GHG Inventory'!$B$79:$B$84</c:f>
              <c:strCache>
                <c:ptCount val="6"/>
                <c:pt idx="0">
                  <c:v>Electricity</c:v>
                </c:pt>
                <c:pt idx="1">
                  <c:v>Natural Gas</c:v>
                </c:pt>
                <c:pt idx="2">
                  <c:v>Propane</c:v>
                </c:pt>
                <c:pt idx="3">
                  <c:v>Fuel Oil</c:v>
                </c:pt>
                <c:pt idx="4">
                  <c:v>Gasoline</c:v>
                </c:pt>
                <c:pt idx="5">
                  <c:v>Diesel</c:v>
                </c:pt>
              </c:strCache>
            </c:strRef>
          </c:cat>
          <c:val>
            <c:numRef>
              <c:f>'GHG Inventory'!$H$79:$H$84</c:f>
              <c:numCache>
                <c:formatCode>0.00</c:formatCode>
                <c:ptCount val="6"/>
                <c:pt idx="0">
                  <c:v>17.532791620499999</c:v>
                </c:pt>
                <c:pt idx="1">
                  <c:v>0</c:v>
                </c:pt>
                <c:pt idx="2">
                  <c:v>9.0047056635610687</c:v>
                </c:pt>
                <c:pt idx="3">
                  <c:v>17.799789315165423</c:v>
                </c:pt>
                <c:pt idx="4">
                  <c:v>37.680440859195699</c:v>
                </c:pt>
                <c:pt idx="5">
                  <c:v>93.321881971496225</c:v>
                </c:pt>
              </c:numCache>
            </c:numRef>
          </c:val>
          <c:extLst>
            <c:ext xmlns:c16="http://schemas.microsoft.com/office/drawing/2014/chart" uri="{C3380CC4-5D6E-409C-BE32-E72D297353CC}">
              <c16:uniqueId val="{00000000-3447-4433-AF39-E0E93F67815F}"/>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GHG Emissions by Function (MTCO2e)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7.6612195932615562E-2"/>
          <c:y val="0.1999710816652181"/>
          <c:w val="0.89353215639513039"/>
          <c:h val="0.62710524282239766"/>
        </c:manualLayout>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'GHG Inventory'!$B$61:$B$65</c:f>
              <c:strCache>
                <c:ptCount val="5"/>
                <c:pt idx="0">
                  <c:v>Wastewater facilities</c:v>
                </c:pt>
                <c:pt idx="1">
                  <c:v>Administration facilities</c:v>
                </c:pt>
                <c:pt idx="2">
                  <c:v>Vehicle fleet</c:v>
                </c:pt>
                <c:pt idx="3">
                  <c:v>Streetlights and traffic signals</c:v>
                </c:pt>
                <c:pt idx="4">
                  <c:v>Water delivery facilities</c:v>
                </c:pt>
              </c:strCache>
            </c:strRef>
          </c:cat>
          <c:val>
            <c:numRef>
              <c:f>'GHG Inventory'!$H$61:$H$65</c:f>
              <c:numCache>
                <c:formatCode>0.0</c:formatCode>
                <c:ptCount val="5"/>
                <c:pt idx="0">
                  <c:v>1.5407837639999999</c:v>
                </c:pt>
                <c:pt idx="1">
                  <c:v>36.653134324726494</c:v>
                </c:pt>
                <c:pt idx="2">
                  <c:v>131.0023228306919</c:v>
                </c:pt>
                <c:pt idx="3">
                  <c:v>5.4366054405000002</c:v>
                </c:pt>
                <c:pt idx="4">
                  <c:v>0</c:v>
                </c:pt>
              </c:numCache>
            </c:numRef>
          </c:val>
          <c:extLst>
            <c:ext xmlns:c16="http://schemas.microsoft.com/office/drawing/2014/chart" uri="{C3380CC4-5D6E-409C-BE32-E72D297353CC}">
              <c16:uniqueId val="{00000000-653E-4BD5-9F68-7C7D264786CB}"/>
            </c:ext>
          </c:extLst>
        </c:ser>
        <c:dLbls>
          <c:dLblPos val="outEnd"/>
          <c:showLegendKey val="0"/>
          <c:showVal val="1"/>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'GHG Inventory'!$B$110</c:f>
          <c:strCache>
            <c:ptCount val="1"/>
            <c:pt idx="0">
              <c:v>Kennel</c:v>
            </c:pt>
          </c:strCache>
        </c:strRef>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'GHG Inventory'!$K$113</c:f>
              <c:strCache>
                <c:ptCount val="1"/>
                <c:pt idx="0">
                  <c:v>kWh</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numRef>
              <c:f>'GHG Inventory'!$J$114:$J$173</c:f>
              <c:numCache>
                <c:formatCode>mmm\-yy</c:formatCode>
                <c:ptCount val="6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numCache>
            </c:numRef>
          </c:cat>
          <c:val>
            <c:numRef>
              <c:f>'GHG Inventory'!$K$114:$K$173</c:f>
              <c:numCache>
                <c:formatCode>General</c:formatCode>
                <c:ptCount val="60"/>
                <c:pt idx="0">
                  <c:v>1406</c:v>
                </c:pt>
                <c:pt idx="1">
                  <c:v>0</c:v>
                </c:pt>
                <c:pt idx="2">
                  <c:v>0</c:v>
                </c:pt>
                <c:pt idx="3">
                  <c:v>31</c:v>
                </c:pt>
                <c:pt idx="4">
                  <c:v>0</c:v>
                </c:pt>
                <c:pt idx="5">
                  <c:v>24</c:v>
                </c:pt>
                <c:pt idx="6">
                  <c:v>121</c:v>
                </c:pt>
                <c:pt idx="7">
                  <c:v>0</c:v>
                </c:pt>
                <c:pt idx="8">
                  <c:v>0</c:v>
                </c:pt>
                <c:pt idx="9">
                  <c:v>80</c:v>
                </c:pt>
                <c:pt idx="10">
                  <c:v>0</c:v>
                </c:pt>
                <c:pt idx="11">
                  <c:v>5</c:v>
                </c:pt>
                <c:pt idx="12">
                  <c:v>183</c:v>
                </c:pt>
                <c:pt idx="13">
                  <c:v>0</c:v>
                </c:pt>
                <c:pt idx="14">
                  <c:v>37</c:v>
                </c:pt>
                <c:pt idx="15">
                  <c:v>0</c:v>
                </c:pt>
                <c:pt idx="16">
                  <c:v>2</c:v>
                </c:pt>
                <c:pt idx="17">
                  <c:v>105</c:v>
                </c:pt>
                <c:pt idx="18">
                  <c:v>0</c:v>
                </c:pt>
                <c:pt idx="19">
                  <c:v>148</c:v>
                </c:pt>
                <c:pt idx="20">
                  <c:v>39</c:v>
                </c:pt>
                <c:pt idx="21">
                  <c:v>2</c:v>
                </c:pt>
                <c:pt idx="22">
                  <c:v>541</c:v>
                </c:pt>
                <c:pt idx="23">
                  <c:v>0</c:v>
                </c:pt>
                <c:pt idx="24">
                  <c:v>103</c:v>
                </c:pt>
                <c:pt idx="25">
                  <c:v>90</c:v>
                </c:pt>
                <c:pt idx="26">
                  <c:v>35</c:v>
                </c:pt>
                <c:pt idx="27">
                  <c:v>0</c:v>
                </c:pt>
                <c:pt idx="28">
                  <c:v>2</c:v>
                </c:pt>
                <c:pt idx="29">
                  <c:v>37</c:v>
                </c:pt>
                <c:pt idx="30">
                  <c:v>54</c:v>
                </c:pt>
                <c:pt idx="31">
                  <c:v>96</c:v>
                </c:pt>
                <c:pt idx="32">
                  <c:v>52</c:v>
                </c:pt>
                <c:pt idx="33">
                  <c:v>84</c:v>
                </c:pt>
                <c:pt idx="34">
                  <c:v>43</c:v>
                </c:pt>
                <c:pt idx="35">
                  <c:v>0</c:v>
                </c:pt>
                <c:pt idx="36">
                  <c:v>330</c:v>
                </c:pt>
                <c:pt idx="37">
                  <c:v>0</c:v>
                </c:pt>
                <c:pt idx="38">
                  <c:v>0</c:v>
                </c:pt>
                <c:pt idx="39">
                  <c:v>0</c:v>
                </c:pt>
                <c:pt idx="40">
                  <c:v>66</c:v>
                </c:pt>
                <c:pt idx="41">
                  <c:v>15</c:v>
                </c:pt>
                <c:pt idx="42">
                  <c:v>0</c:v>
                </c:pt>
                <c:pt idx="43">
                  <c:v>69</c:v>
                </c:pt>
                <c:pt idx="44">
                  <c:v>0</c:v>
                </c:pt>
                <c:pt idx="45">
                  <c:v>22</c:v>
                </c:pt>
                <c:pt idx="46">
                  <c:v>21</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0-87CA-499C-8560-C346745EB999}"/>
            </c:ext>
          </c:extLst>
        </c:ser>
        <c:dLbls>
          <c:showLegendKey val="0"/>
          <c:showVal val="0"/>
          <c:showCatName val="0"/>
          <c:showSerName val="0"/>
          <c:showPercent val="0"/>
          <c:showBubbleSize val="0"/>
        </c:dLbls>
        <c:marker val="1"/>
        <c:smooth val="0"/>
        <c:axId val="534156736"/>
        <c:axId val="534162640"/>
        <c:extLst>
          <c:ext xmlns:c15="http://schemas.microsoft.com/office/drawing/2012/chart" uri="{02D57815-91ED-43cb-92C2-25804820EDAC}">
            <c15:filteredLineSeries>
              <c15:ser>
                <c:idx val="2"/>
                <c:order val="2"/>
                <c:tx>
                  <c:strRef>
                    <c:extLst>
                      <c:ext uri="{02D57815-91ED-43cb-92C2-25804820EDAC}">
                        <c15:formulaRef>
                          <c15:sqref>'GHG Inventory'!$M$113</c15:sqref>
                        </c15:formulaRef>
                      </c:ext>
                    </c:extLst>
                    <c:strCache>
                      <c:ptCount val="1"/>
                      <c:pt idx="0">
                        <c:v>Num Records</c:v>
                      </c:pt>
                    </c:strCache>
                  </c:strRef>
                </c:tx>
                <c:spPr>
                  <a:ln w="34925"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numRef>
                    <c:extLst>
                      <c:ext uri="{02D57815-91ED-43cb-92C2-25804820EDAC}">
                        <c15:formulaRef>
                          <c15:sqref>'GHG Inventory'!$J$114:$J$173</c15:sqref>
                        </c15:formulaRef>
                      </c:ext>
                    </c:extLst>
                    <c:numCache>
                      <c:formatCode>mmm\-yy</c:formatCode>
                      <c:ptCount val="6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numCache>
                  </c:numRef>
                </c:cat>
                <c:val>
                  <c:numRef>
                    <c:extLst>
                      <c:ext uri="{02D57815-91ED-43cb-92C2-25804820EDAC}">
                        <c15:formulaRef>
                          <c15:sqref>'GHG Inventory'!$M$114:$M$173</c15:sqref>
                        </c15:formulaRef>
                      </c:ext>
                    </c:extLst>
                    <c:numCache>
                      <c:formatCode>General</c:formatCode>
                      <c:ptCount val="60"/>
                      <c:pt idx="0">
                        <c:v>1</c:v>
                      </c:pt>
                      <c:pt idx="1">
                        <c:v>0</c:v>
                      </c:pt>
                      <c:pt idx="2">
                        <c:v>0</c:v>
                      </c:pt>
                      <c:pt idx="3">
                        <c:v>1</c:v>
                      </c:pt>
                      <c:pt idx="4">
                        <c:v>0</c:v>
                      </c:pt>
                      <c:pt idx="5">
                        <c:v>1</c:v>
                      </c:pt>
                      <c:pt idx="6">
                        <c:v>1</c:v>
                      </c:pt>
                      <c:pt idx="7">
                        <c:v>0</c:v>
                      </c:pt>
                      <c:pt idx="8">
                        <c:v>0</c:v>
                      </c:pt>
                      <c:pt idx="9">
                        <c:v>1</c:v>
                      </c:pt>
                      <c:pt idx="10">
                        <c:v>0</c:v>
                      </c:pt>
                      <c:pt idx="11">
                        <c:v>1</c:v>
                      </c:pt>
                      <c:pt idx="12">
                        <c:v>1</c:v>
                      </c:pt>
                      <c:pt idx="13">
                        <c:v>0</c:v>
                      </c:pt>
                      <c:pt idx="14">
                        <c:v>1</c:v>
                      </c:pt>
                      <c:pt idx="15">
                        <c:v>0</c:v>
                      </c:pt>
                      <c:pt idx="16">
                        <c:v>1</c:v>
                      </c:pt>
                      <c:pt idx="17">
                        <c:v>1</c:v>
                      </c:pt>
                      <c:pt idx="18">
                        <c:v>0</c:v>
                      </c:pt>
                      <c:pt idx="19">
                        <c:v>2</c:v>
                      </c:pt>
                      <c:pt idx="20">
                        <c:v>1</c:v>
                      </c:pt>
                      <c:pt idx="21">
                        <c:v>1</c:v>
                      </c:pt>
                      <c:pt idx="22">
                        <c:v>1</c:v>
                      </c:pt>
                      <c:pt idx="23">
                        <c:v>0</c:v>
                      </c:pt>
                      <c:pt idx="24">
                        <c:v>1</c:v>
                      </c:pt>
                      <c:pt idx="25">
                        <c:v>1</c:v>
                      </c:pt>
                      <c:pt idx="26">
                        <c:v>2</c:v>
                      </c:pt>
                      <c:pt idx="27">
                        <c:v>0</c:v>
                      </c:pt>
                      <c:pt idx="28">
                        <c:v>2</c:v>
                      </c:pt>
                      <c:pt idx="29">
                        <c:v>1</c:v>
                      </c:pt>
                      <c:pt idx="30">
                        <c:v>1</c:v>
                      </c:pt>
                      <c:pt idx="31">
                        <c:v>1</c:v>
                      </c:pt>
                      <c:pt idx="32">
                        <c:v>1</c:v>
                      </c:pt>
                      <c:pt idx="33">
                        <c:v>1</c:v>
                      </c:pt>
                      <c:pt idx="34">
                        <c:v>1</c:v>
                      </c:pt>
                      <c:pt idx="35">
                        <c:v>0</c:v>
                      </c:pt>
                      <c:pt idx="36">
                        <c:v>2</c:v>
                      </c:pt>
                      <c:pt idx="37">
                        <c:v>0</c:v>
                      </c:pt>
                      <c:pt idx="38">
                        <c:v>1</c:v>
                      </c:pt>
                      <c:pt idx="39">
                        <c:v>1</c:v>
                      </c:pt>
                      <c:pt idx="40">
                        <c:v>2</c:v>
                      </c:pt>
                      <c:pt idx="41">
                        <c:v>1</c:v>
                      </c:pt>
                      <c:pt idx="42">
                        <c:v>0</c:v>
                      </c:pt>
                      <c:pt idx="43">
                        <c:v>1</c:v>
                      </c:pt>
                      <c:pt idx="44">
                        <c:v>0</c:v>
                      </c:pt>
                      <c:pt idx="45">
                        <c:v>1</c:v>
                      </c:pt>
                      <c:pt idx="46">
                        <c:v>1</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2-87CA-499C-8560-C346745EB999}"/>
                  </c:ext>
                </c:extLst>
              </c15:ser>
            </c15:filteredLineSeries>
          </c:ext>
        </c:extLst>
      </c:lineChart>
      <c:lineChart>
        <c:grouping val="standard"/>
        <c:varyColors val="0"/>
        <c:ser>
          <c:idx val="1"/>
          <c:order val="1"/>
          <c:tx>
            <c:strRef>
              <c:f>'GHG Inventory'!$L$113</c:f>
              <c:strCache>
                <c:ptCount val="1"/>
                <c:pt idx="0">
                  <c:v>Cost</c:v>
                </c:pt>
              </c:strCache>
            </c:strRef>
          </c:tx>
          <c:spPr>
            <a:ln w="9525" cap="rnd">
              <a:solidFill>
                <a:srgbClr val="92D050"/>
              </a:solidFill>
              <a:round/>
            </a:ln>
            <a:effectLst>
              <a:outerShdw blurRad="57150" dist="19050" dir="5400000" algn="ctr" rotWithShape="0">
                <a:srgbClr val="000000">
                  <a:alpha val="63000"/>
                </a:srgbClr>
              </a:outerShdw>
            </a:effectLst>
          </c:spPr>
          <c:marker>
            <c:symbol val="circle"/>
            <c:size val="4"/>
            <c:spPr>
              <a:solidFill>
                <a:srgbClr val="92D050"/>
              </a:solidFill>
              <a:ln w="9525">
                <a:solidFill>
                  <a:schemeClr val="accent2"/>
                </a:solidFill>
                <a:round/>
              </a:ln>
              <a:effectLst>
                <a:outerShdw blurRad="57150" dist="19050" dir="5400000" algn="ctr" rotWithShape="0">
                  <a:srgbClr val="000000">
                    <a:alpha val="63000"/>
                  </a:srgbClr>
                </a:outerShdw>
              </a:effectLst>
            </c:spPr>
          </c:marker>
          <c:cat>
            <c:numRef>
              <c:f>'GHG Inventory'!$J$114:$J$173</c:f>
              <c:numCache>
                <c:formatCode>mmm\-yy</c:formatCode>
                <c:ptCount val="6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numCache>
            </c:numRef>
          </c:cat>
          <c:val>
            <c:numRef>
              <c:f>'GHG Inventory'!$L$114:$L$173</c:f>
              <c:numCache>
                <c:formatCode>_("$"* #,##0.00_);_("$"* \(#,##0.00\);_("$"* "-"??_);_(@_)</c:formatCode>
                <c:ptCount val="60"/>
                <c:pt idx="0">
                  <c:v>247.09</c:v>
                </c:pt>
                <c:pt idx="1">
                  <c:v>0</c:v>
                </c:pt>
                <c:pt idx="2">
                  <c:v>0</c:v>
                </c:pt>
                <c:pt idx="3">
                  <c:v>54.44</c:v>
                </c:pt>
                <c:pt idx="4">
                  <c:v>0</c:v>
                </c:pt>
                <c:pt idx="5">
                  <c:v>51.9</c:v>
                </c:pt>
                <c:pt idx="6">
                  <c:v>63.32</c:v>
                </c:pt>
                <c:pt idx="7">
                  <c:v>0</c:v>
                </c:pt>
                <c:pt idx="8">
                  <c:v>0</c:v>
                </c:pt>
                <c:pt idx="9">
                  <c:v>60.29</c:v>
                </c:pt>
                <c:pt idx="10">
                  <c:v>0</c:v>
                </c:pt>
                <c:pt idx="11">
                  <c:v>49.64</c:v>
                </c:pt>
                <c:pt idx="12">
                  <c:v>68.930000000000007</c:v>
                </c:pt>
                <c:pt idx="13">
                  <c:v>0</c:v>
                </c:pt>
                <c:pt idx="14">
                  <c:v>54.03</c:v>
                </c:pt>
                <c:pt idx="15">
                  <c:v>0</c:v>
                </c:pt>
                <c:pt idx="16">
                  <c:v>49.24</c:v>
                </c:pt>
                <c:pt idx="17">
                  <c:v>36.68</c:v>
                </c:pt>
                <c:pt idx="18">
                  <c:v>0</c:v>
                </c:pt>
                <c:pt idx="19">
                  <c:v>68.16</c:v>
                </c:pt>
                <c:pt idx="20">
                  <c:v>29.83</c:v>
                </c:pt>
                <c:pt idx="21">
                  <c:v>24.75</c:v>
                </c:pt>
                <c:pt idx="22">
                  <c:v>99.42</c:v>
                </c:pt>
                <c:pt idx="23">
                  <c:v>0</c:v>
                </c:pt>
                <c:pt idx="24">
                  <c:v>37.46</c:v>
                </c:pt>
                <c:pt idx="25">
                  <c:v>35.270000000000003</c:v>
                </c:pt>
                <c:pt idx="26">
                  <c:v>53.07</c:v>
                </c:pt>
                <c:pt idx="27">
                  <c:v>0</c:v>
                </c:pt>
                <c:pt idx="28">
                  <c:v>49.269999999999996</c:v>
                </c:pt>
                <c:pt idx="29">
                  <c:v>28.71</c:v>
                </c:pt>
                <c:pt idx="30">
                  <c:v>32.22</c:v>
                </c:pt>
                <c:pt idx="31">
                  <c:v>38.57</c:v>
                </c:pt>
                <c:pt idx="32">
                  <c:v>31.4</c:v>
                </c:pt>
                <c:pt idx="33">
                  <c:v>36.01</c:v>
                </c:pt>
                <c:pt idx="34">
                  <c:v>55.06</c:v>
                </c:pt>
                <c:pt idx="35">
                  <c:v>0</c:v>
                </c:pt>
                <c:pt idx="36">
                  <c:v>98.789999999999992</c:v>
                </c:pt>
                <c:pt idx="37">
                  <c:v>0</c:v>
                </c:pt>
                <c:pt idx="38">
                  <c:v>0</c:v>
                </c:pt>
                <c:pt idx="39">
                  <c:v>0</c:v>
                </c:pt>
                <c:pt idx="40">
                  <c:v>108.22</c:v>
                </c:pt>
                <c:pt idx="41">
                  <c:v>26.71</c:v>
                </c:pt>
                <c:pt idx="42">
                  <c:v>0</c:v>
                </c:pt>
                <c:pt idx="43">
                  <c:v>32.520000000000003</c:v>
                </c:pt>
                <c:pt idx="44">
                  <c:v>0</c:v>
                </c:pt>
                <c:pt idx="45">
                  <c:v>25.07</c:v>
                </c:pt>
                <c:pt idx="46">
                  <c:v>24.36</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1-87CA-499C-8560-C346745EB999}"/>
            </c:ext>
          </c:extLst>
        </c:ser>
        <c:dLbls>
          <c:showLegendKey val="0"/>
          <c:showVal val="0"/>
          <c:showCatName val="0"/>
          <c:showSerName val="0"/>
          <c:showPercent val="0"/>
          <c:showBubbleSize val="0"/>
        </c:dLbls>
        <c:marker val="1"/>
        <c:smooth val="0"/>
        <c:axId val="534160344"/>
        <c:axId val="534159688"/>
      </c:lineChart>
      <c:dateAx>
        <c:axId val="534156736"/>
        <c:scaling>
          <c:orientation val="minMax"/>
        </c:scaling>
        <c:delete val="0"/>
        <c:axPos val="b"/>
        <c:numFmt formatCode="mmm\-yy"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4162640"/>
        <c:crosses val="autoZero"/>
        <c:auto val="1"/>
        <c:lblOffset val="100"/>
        <c:baseTimeUnit val="months"/>
      </c:dateAx>
      <c:valAx>
        <c:axId val="53416264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4156736"/>
        <c:crosses val="autoZero"/>
        <c:crossBetween val="between"/>
      </c:valAx>
      <c:valAx>
        <c:axId val="534159688"/>
        <c:scaling>
          <c:orientation val="minMax"/>
        </c:scaling>
        <c:delete val="0"/>
        <c:axPos val="r"/>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4160344"/>
        <c:crosses val="max"/>
        <c:crossBetween val="between"/>
      </c:valAx>
      <c:dateAx>
        <c:axId val="534160344"/>
        <c:scaling>
          <c:orientation val="minMax"/>
        </c:scaling>
        <c:delete val="1"/>
        <c:axPos val="b"/>
        <c:numFmt formatCode="mmm\-yy" sourceLinked="1"/>
        <c:majorTickMark val="none"/>
        <c:minorTickMark val="none"/>
        <c:tickLblPos val="nextTo"/>
        <c:crossAx val="534159688"/>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Billing Records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'GHG Inventory'!$M$113</c:f>
              <c:strCache>
                <c:ptCount val="1"/>
                <c:pt idx="0">
                  <c:v>Num Records</c:v>
                </c:pt>
              </c:strCache>
            </c:strRef>
          </c:tx>
          <c:spPr>
            <a:solidFill>
              <a:schemeClr val="tx1">
                <a:lumMod val="75000"/>
                <a:lumOff val="25000"/>
              </a:schemeClr>
            </a:solidFill>
            <a:ln>
              <a:noFill/>
            </a:ln>
            <a:effectLst/>
          </c:spPr>
          <c:invertIfNegative val="0"/>
          <c:cat>
            <c:numRef>
              <c:f>'GHG Inventory'!$J$114:$J$173</c:f>
              <c:numCache>
                <c:formatCode>mmm\-yy</c:formatCode>
                <c:ptCount val="6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numCache>
            </c:numRef>
          </c:cat>
          <c:val>
            <c:numRef>
              <c:f>'GHG Inventory'!$M$114:$M$173</c:f>
              <c:numCache>
                <c:formatCode>General</c:formatCode>
                <c:ptCount val="60"/>
                <c:pt idx="0">
                  <c:v>1</c:v>
                </c:pt>
                <c:pt idx="1">
                  <c:v>0</c:v>
                </c:pt>
                <c:pt idx="2">
                  <c:v>0</c:v>
                </c:pt>
                <c:pt idx="3">
                  <c:v>1</c:v>
                </c:pt>
                <c:pt idx="4">
                  <c:v>0</c:v>
                </c:pt>
                <c:pt idx="5">
                  <c:v>1</c:v>
                </c:pt>
                <c:pt idx="6">
                  <c:v>1</c:v>
                </c:pt>
                <c:pt idx="7">
                  <c:v>0</c:v>
                </c:pt>
                <c:pt idx="8">
                  <c:v>0</c:v>
                </c:pt>
                <c:pt idx="9">
                  <c:v>1</c:v>
                </c:pt>
                <c:pt idx="10">
                  <c:v>0</c:v>
                </c:pt>
                <c:pt idx="11">
                  <c:v>1</c:v>
                </c:pt>
                <c:pt idx="12">
                  <c:v>1</c:v>
                </c:pt>
                <c:pt idx="13">
                  <c:v>0</c:v>
                </c:pt>
                <c:pt idx="14">
                  <c:v>1</c:v>
                </c:pt>
                <c:pt idx="15">
                  <c:v>0</c:v>
                </c:pt>
                <c:pt idx="16">
                  <c:v>1</c:v>
                </c:pt>
                <c:pt idx="17">
                  <c:v>1</c:v>
                </c:pt>
                <c:pt idx="18">
                  <c:v>0</c:v>
                </c:pt>
                <c:pt idx="19">
                  <c:v>2</c:v>
                </c:pt>
                <c:pt idx="20">
                  <c:v>1</c:v>
                </c:pt>
                <c:pt idx="21">
                  <c:v>1</c:v>
                </c:pt>
                <c:pt idx="22">
                  <c:v>1</c:v>
                </c:pt>
                <c:pt idx="23">
                  <c:v>0</c:v>
                </c:pt>
                <c:pt idx="24">
                  <c:v>1</c:v>
                </c:pt>
                <c:pt idx="25">
                  <c:v>1</c:v>
                </c:pt>
                <c:pt idx="26">
                  <c:v>2</c:v>
                </c:pt>
                <c:pt idx="27">
                  <c:v>0</c:v>
                </c:pt>
                <c:pt idx="28">
                  <c:v>2</c:v>
                </c:pt>
                <c:pt idx="29">
                  <c:v>1</c:v>
                </c:pt>
                <c:pt idx="30">
                  <c:v>1</c:v>
                </c:pt>
                <c:pt idx="31">
                  <c:v>1</c:v>
                </c:pt>
                <c:pt idx="32">
                  <c:v>1</c:v>
                </c:pt>
                <c:pt idx="33">
                  <c:v>1</c:v>
                </c:pt>
                <c:pt idx="34">
                  <c:v>1</c:v>
                </c:pt>
                <c:pt idx="35">
                  <c:v>0</c:v>
                </c:pt>
                <c:pt idx="36">
                  <c:v>2</c:v>
                </c:pt>
                <c:pt idx="37">
                  <c:v>0</c:v>
                </c:pt>
                <c:pt idx="38">
                  <c:v>1</c:v>
                </c:pt>
                <c:pt idx="39">
                  <c:v>1</c:v>
                </c:pt>
                <c:pt idx="40">
                  <c:v>2</c:v>
                </c:pt>
                <c:pt idx="41">
                  <c:v>1</c:v>
                </c:pt>
                <c:pt idx="42">
                  <c:v>0</c:v>
                </c:pt>
                <c:pt idx="43">
                  <c:v>1</c:v>
                </c:pt>
                <c:pt idx="44">
                  <c:v>0</c:v>
                </c:pt>
                <c:pt idx="45">
                  <c:v>1</c:v>
                </c:pt>
                <c:pt idx="46">
                  <c:v>1</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341A-49CF-82A9-43D092297069}"/>
            </c:ext>
          </c:extLst>
        </c:ser>
        <c:dLbls>
          <c:showLegendKey val="0"/>
          <c:showVal val="0"/>
          <c:showCatName val="0"/>
          <c:showSerName val="0"/>
          <c:showPercent val="0"/>
          <c:showBubbleSize val="0"/>
        </c:dLbls>
        <c:gapWidth val="219"/>
        <c:overlap val="-27"/>
        <c:axId val="405660872"/>
        <c:axId val="405662840"/>
        <c:extLst>
          <c:ext xmlns:c15="http://schemas.microsoft.com/office/drawing/2012/chart" uri="{02D57815-91ED-43cb-92C2-25804820EDAC}">
            <c15:filteredBarSeries>
              <c15:ser>
                <c:idx val="0"/>
                <c:order val="0"/>
                <c:tx>
                  <c:strRef>
                    <c:extLst>
                      <c:ext uri="{02D57815-91ED-43cb-92C2-25804820EDAC}">
                        <c15:formulaRef>
                          <c15:sqref>'GHG Inventory'!$K$113</c15:sqref>
                        </c15:formulaRef>
                      </c:ext>
                    </c:extLst>
                    <c:strCache>
                      <c:ptCount val="1"/>
                      <c:pt idx="0">
                        <c:v>kWh</c:v>
                      </c:pt>
                    </c:strCache>
                  </c:strRef>
                </c:tx>
                <c:spPr>
                  <a:solidFill>
                    <a:schemeClr val="accent1"/>
                  </a:solidFill>
                  <a:ln>
                    <a:noFill/>
                  </a:ln>
                  <a:effectLst/>
                </c:spPr>
                <c:invertIfNegative val="0"/>
                <c:cat>
                  <c:numRef>
                    <c:extLst>
                      <c:ext uri="{02D57815-91ED-43cb-92C2-25804820EDAC}">
                        <c15:formulaRef>
                          <c15:sqref>'GHG Inventory'!$J$114:$J$173</c15:sqref>
                        </c15:formulaRef>
                      </c:ext>
                    </c:extLst>
                    <c:numCache>
                      <c:formatCode>mmm\-yy</c:formatCode>
                      <c:ptCount val="6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numCache>
                  </c:numRef>
                </c:cat>
                <c:val>
                  <c:numRef>
                    <c:extLst>
                      <c:ext uri="{02D57815-91ED-43cb-92C2-25804820EDAC}">
                        <c15:formulaRef>
                          <c15:sqref>'GHG Inventory'!$K$114:$K$173</c15:sqref>
                        </c15:formulaRef>
                      </c:ext>
                    </c:extLst>
                    <c:numCache>
                      <c:formatCode>General</c:formatCode>
                      <c:ptCount val="60"/>
                      <c:pt idx="0">
                        <c:v>1406</c:v>
                      </c:pt>
                      <c:pt idx="1">
                        <c:v>0</c:v>
                      </c:pt>
                      <c:pt idx="2">
                        <c:v>0</c:v>
                      </c:pt>
                      <c:pt idx="3">
                        <c:v>31</c:v>
                      </c:pt>
                      <c:pt idx="4">
                        <c:v>0</c:v>
                      </c:pt>
                      <c:pt idx="5">
                        <c:v>24</c:v>
                      </c:pt>
                      <c:pt idx="6">
                        <c:v>121</c:v>
                      </c:pt>
                      <c:pt idx="7">
                        <c:v>0</c:v>
                      </c:pt>
                      <c:pt idx="8">
                        <c:v>0</c:v>
                      </c:pt>
                      <c:pt idx="9">
                        <c:v>80</c:v>
                      </c:pt>
                      <c:pt idx="10">
                        <c:v>0</c:v>
                      </c:pt>
                      <c:pt idx="11">
                        <c:v>5</c:v>
                      </c:pt>
                      <c:pt idx="12">
                        <c:v>183</c:v>
                      </c:pt>
                      <c:pt idx="13">
                        <c:v>0</c:v>
                      </c:pt>
                      <c:pt idx="14">
                        <c:v>37</c:v>
                      </c:pt>
                      <c:pt idx="15">
                        <c:v>0</c:v>
                      </c:pt>
                      <c:pt idx="16">
                        <c:v>2</c:v>
                      </c:pt>
                      <c:pt idx="17">
                        <c:v>105</c:v>
                      </c:pt>
                      <c:pt idx="18">
                        <c:v>0</c:v>
                      </c:pt>
                      <c:pt idx="19">
                        <c:v>148</c:v>
                      </c:pt>
                      <c:pt idx="20">
                        <c:v>39</c:v>
                      </c:pt>
                      <c:pt idx="21">
                        <c:v>2</c:v>
                      </c:pt>
                      <c:pt idx="22">
                        <c:v>541</c:v>
                      </c:pt>
                      <c:pt idx="23">
                        <c:v>0</c:v>
                      </c:pt>
                      <c:pt idx="24">
                        <c:v>103</c:v>
                      </c:pt>
                      <c:pt idx="25">
                        <c:v>90</c:v>
                      </c:pt>
                      <c:pt idx="26">
                        <c:v>35</c:v>
                      </c:pt>
                      <c:pt idx="27">
                        <c:v>0</c:v>
                      </c:pt>
                      <c:pt idx="28">
                        <c:v>2</c:v>
                      </c:pt>
                      <c:pt idx="29">
                        <c:v>37</c:v>
                      </c:pt>
                      <c:pt idx="30">
                        <c:v>54</c:v>
                      </c:pt>
                      <c:pt idx="31">
                        <c:v>96</c:v>
                      </c:pt>
                      <c:pt idx="32">
                        <c:v>52</c:v>
                      </c:pt>
                      <c:pt idx="33">
                        <c:v>84</c:v>
                      </c:pt>
                      <c:pt idx="34">
                        <c:v>43</c:v>
                      </c:pt>
                      <c:pt idx="35">
                        <c:v>0</c:v>
                      </c:pt>
                      <c:pt idx="36">
                        <c:v>330</c:v>
                      </c:pt>
                      <c:pt idx="37">
                        <c:v>0</c:v>
                      </c:pt>
                      <c:pt idx="38">
                        <c:v>0</c:v>
                      </c:pt>
                      <c:pt idx="39">
                        <c:v>0</c:v>
                      </c:pt>
                      <c:pt idx="40">
                        <c:v>66</c:v>
                      </c:pt>
                      <c:pt idx="41">
                        <c:v>15</c:v>
                      </c:pt>
                      <c:pt idx="42">
                        <c:v>0</c:v>
                      </c:pt>
                      <c:pt idx="43">
                        <c:v>69</c:v>
                      </c:pt>
                      <c:pt idx="44">
                        <c:v>0</c:v>
                      </c:pt>
                      <c:pt idx="45">
                        <c:v>22</c:v>
                      </c:pt>
                      <c:pt idx="46">
                        <c:v>21</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341A-49CF-82A9-43D0922970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'GHG Inventory'!$L$113</c15:sqref>
                        </c15:formulaRef>
                      </c:ext>
                    </c:extLst>
                    <c:strCache>
                      <c:ptCount val="1"/>
                      <c:pt idx="0">
                        <c:v>Cost</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'GHG Inventory'!$J$114:$J$173</c15:sqref>
                        </c15:formulaRef>
                      </c:ext>
                    </c:extLst>
                    <c:numCache>
                      <c:formatCode>mmm\-yy</c:formatCode>
                      <c:ptCount val="6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numCache>
                  </c:numRef>
                </c:cat>
                <c:val>
                  <c:numRef>
                    <c:extLst xmlns:c15="http://schemas.microsoft.com/office/drawing/2012/chart">
                      <c:ext xmlns:c15="http://schemas.microsoft.com/office/drawing/2012/chart" uri="{02D57815-91ED-43cb-92C2-25804820EDAC}">
                        <c15:formulaRef>
                          <c15:sqref>'GHG Inventory'!$L$114:$L$173</c15:sqref>
                        </c15:formulaRef>
                      </c:ext>
                    </c:extLst>
                    <c:numCache>
                      <c:formatCode>_("$"* #,##0.00_);_("$"* \(#,##0.00\);_("$"* "-"??_);_(@_)</c:formatCode>
                      <c:ptCount val="60"/>
                      <c:pt idx="0">
                        <c:v>247.09</c:v>
                      </c:pt>
                      <c:pt idx="1">
                        <c:v>0</c:v>
                      </c:pt>
                      <c:pt idx="2">
                        <c:v>0</c:v>
                      </c:pt>
                      <c:pt idx="3">
                        <c:v>54.44</c:v>
                      </c:pt>
                      <c:pt idx="4">
                        <c:v>0</c:v>
                      </c:pt>
                      <c:pt idx="5">
                        <c:v>51.9</c:v>
                      </c:pt>
                      <c:pt idx="6">
                        <c:v>63.32</c:v>
                      </c:pt>
                      <c:pt idx="7">
                        <c:v>0</c:v>
                      </c:pt>
                      <c:pt idx="8">
                        <c:v>0</c:v>
                      </c:pt>
                      <c:pt idx="9">
                        <c:v>60.29</c:v>
                      </c:pt>
                      <c:pt idx="10">
                        <c:v>0</c:v>
                      </c:pt>
                      <c:pt idx="11">
                        <c:v>49.64</c:v>
                      </c:pt>
                      <c:pt idx="12">
                        <c:v>68.930000000000007</c:v>
                      </c:pt>
                      <c:pt idx="13">
                        <c:v>0</c:v>
                      </c:pt>
                      <c:pt idx="14">
                        <c:v>54.03</c:v>
                      </c:pt>
                      <c:pt idx="15">
                        <c:v>0</c:v>
                      </c:pt>
                      <c:pt idx="16">
                        <c:v>49.24</c:v>
                      </c:pt>
                      <c:pt idx="17">
                        <c:v>36.68</c:v>
                      </c:pt>
                      <c:pt idx="18">
                        <c:v>0</c:v>
                      </c:pt>
                      <c:pt idx="19">
                        <c:v>68.16</c:v>
                      </c:pt>
                      <c:pt idx="20">
                        <c:v>29.83</c:v>
                      </c:pt>
                      <c:pt idx="21">
                        <c:v>24.75</c:v>
                      </c:pt>
                      <c:pt idx="22">
                        <c:v>99.42</c:v>
                      </c:pt>
                      <c:pt idx="23">
                        <c:v>0</c:v>
                      </c:pt>
                      <c:pt idx="24">
                        <c:v>37.46</c:v>
                      </c:pt>
                      <c:pt idx="25">
                        <c:v>35.270000000000003</c:v>
                      </c:pt>
                      <c:pt idx="26">
                        <c:v>53.07</c:v>
                      </c:pt>
                      <c:pt idx="27">
                        <c:v>0</c:v>
                      </c:pt>
                      <c:pt idx="28">
                        <c:v>49.269999999999996</c:v>
                      </c:pt>
                      <c:pt idx="29">
                        <c:v>28.71</c:v>
                      </c:pt>
                      <c:pt idx="30">
                        <c:v>32.22</c:v>
                      </c:pt>
                      <c:pt idx="31">
                        <c:v>38.57</c:v>
                      </c:pt>
                      <c:pt idx="32">
                        <c:v>31.4</c:v>
                      </c:pt>
                      <c:pt idx="33">
                        <c:v>36.01</c:v>
                      </c:pt>
                      <c:pt idx="34">
                        <c:v>55.06</c:v>
                      </c:pt>
                      <c:pt idx="35">
                        <c:v>0</c:v>
                      </c:pt>
                      <c:pt idx="36">
                        <c:v>98.789999999999992</c:v>
                      </c:pt>
                      <c:pt idx="37">
                        <c:v>0</c:v>
                      </c:pt>
                      <c:pt idx="38">
                        <c:v>0</c:v>
                      </c:pt>
                      <c:pt idx="39">
                        <c:v>0</c:v>
                      </c:pt>
                      <c:pt idx="40">
                        <c:v>108.22</c:v>
                      </c:pt>
                      <c:pt idx="41">
                        <c:v>26.71</c:v>
                      </c:pt>
                      <c:pt idx="42">
                        <c:v>0</c:v>
                      </c:pt>
                      <c:pt idx="43">
                        <c:v>32.520000000000003</c:v>
                      </c:pt>
                      <c:pt idx="44">
                        <c:v>0</c:v>
                      </c:pt>
                      <c:pt idx="45">
                        <c:v>25.07</c:v>
                      </c:pt>
                      <c:pt idx="46">
                        <c:v>24.36</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xmlns:c15="http://schemas.microsoft.com/office/drawing/2012/chart">
                  <c:ext xmlns:c16="http://schemas.microsoft.com/office/drawing/2014/chart" uri="{C3380CC4-5D6E-409C-BE32-E72D297353CC}">
                    <c16:uniqueId val="{00000002-341A-49CF-82A9-43D092297069}"/>
                  </c:ext>
                </c:extLst>
              </c15:ser>
            </c15:filteredBarSeries>
          </c:ext>
        </c:extLst>
      </c:barChart>
      <c:dateAx>
        <c:axId val="4056608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662840"/>
        <c:crosses val="autoZero"/>
        <c:auto val="1"/>
        <c:lblOffset val="100"/>
        <c:baseTimeUnit val="months"/>
      </c:dateAx>
      <c:valAx>
        <c:axId val="405662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660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Facility GHG Emissions (</a:t>
            </a:r>
            <a:r>
              <a:rPr lang="en-US" sz="1600" b="1" i="0" u="none" strike="noStrike" baseline="0">
                <a:effectLst/>
              </a:rPr>
              <a:t>MTCO2e</a:t>
            </a:r>
            <a:r>
              <a:rPr lang="en-US"/>
              <a: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'GHG Inventory'!$B$10:$B$21</c:f>
              <c:strCache>
                <c:ptCount val="11"/>
                <c:pt idx="0">
                  <c:v>Town Hall</c:v>
                </c:pt>
                <c:pt idx="1">
                  <c:v>Sewer District Dusinberre Road</c:v>
                </c:pt>
                <c:pt idx="2">
                  <c:v>Sewer District Cliff View/Mare's Lane</c:v>
                </c:pt>
                <c:pt idx="3">
                  <c:v>Sewer Plant Farmer's Turnpike</c:v>
                </c:pt>
                <c:pt idx="4">
                  <c:v>Street Lighting #1</c:v>
                </c:pt>
                <c:pt idx="5">
                  <c:v>Street Lighting #2</c:v>
                </c:pt>
                <c:pt idx="6">
                  <c:v>Transfer Station</c:v>
                </c:pt>
                <c:pt idx="7">
                  <c:v>Kennel</c:v>
                </c:pt>
                <c:pt idx="8">
                  <c:v>Majestic Park</c:v>
                </c:pt>
                <c:pt idx="9">
                  <c:v>Majestic Park Rec Center</c:v>
                </c:pt>
                <c:pt idx="10">
                  <c:v>Highway Garage</c:v>
                </c:pt>
              </c:strCache>
            </c:strRef>
          </c:cat>
          <c:val>
            <c:numRef>
              <c:f>'GHG Inventory'!$AW$10:$AW$21</c:f>
              <c:numCache>
                <c:formatCode>_(* #,##0.0_);_(* \(#,##0.0\);_(* "-"??_);_(@_)</c:formatCode>
                <c:ptCount val="12"/>
                <c:pt idx="0">
                  <c:v>14.738645129999711</c:v>
                </c:pt>
                <c:pt idx="1">
                  <c:v>0.28156420500000001</c:v>
                </c:pt>
                <c:pt idx="2">
                  <c:v>0.77767429350000006</c:v>
                </c:pt>
                <c:pt idx="3">
                  <c:v>0.64206035399999994</c:v>
                </c:pt>
                <c:pt idx="4">
                  <c:v>4.0898291459999996</c:v>
                </c:pt>
                <c:pt idx="5">
                  <c:v>1.3467762944999999</c:v>
                </c:pt>
                <c:pt idx="6">
                  <c:v>0.70676307000000005</c:v>
                </c:pt>
                <c:pt idx="7">
                  <c:v>1.2610684755613577</c:v>
                </c:pt>
                <c:pt idx="8">
                  <c:v>0.30733790100000002</c:v>
                </c:pt>
                <c:pt idx="9">
                  <c:v>0.11859927300000001</c:v>
                </c:pt>
                <c:pt idx="10">
                  <c:v>20.227483545165423</c:v>
                </c:pt>
                <c:pt idx="11">
                  <c:v>0</c:v>
                </c:pt>
              </c:numCache>
            </c:numRef>
          </c:val>
          <c:extLst>
            <c:ext xmlns:c16="http://schemas.microsoft.com/office/drawing/2014/chart" uri="{C3380CC4-5D6E-409C-BE32-E72D297353CC}">
              <c16:uniqueId val="{00000000-1D52-404F-B7CD-0AE41EA30BA1}"/>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tx2">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GHG Emissions by Energy Type (MTCO2e)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v>GHG Emissions (tons)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'GHG Inventory'!$B$79:$B$84</c:f>
              <c:strCache>
                <c:ptCount val="6"/>
                <c:pt idx="0">
                  <c:v>Electricity</c:v>
                </c:pt>
                <c:pt idx="1">
                  <c:v>Natural Gas</c:v>
                </c:pt>
                <c:pt idx="2">
                  <c:v>Propane</c:v>
                </c:pt>
                <c:pt idx="3">
                  <c:v>Fuel Oil</c:v>
                </c:pt>
                <c:pt idx="4">
                  <c:v>Gasoline</c:v>
                </c:pt>
                <c:pt idx="5">
                  <c:v>Diesel</c:v>
                </c:pt>
              </c:strCache>
            </c:strRef>
          </c:cat>
          <c:val>
            <c:numRef>
              <c:f>'GHG Inventory'!$H$79:$H$84</c:f>
              <c:numCache>
                <c:formatCode>0.00</c:formatCode>
                <c:ptCount val="6"/>
                <c:pt idx="0">
                  <c:v>17.532791620499999</c:v>
                </c:pt>
                <c:pt idx="1">
                  <c:v>0</c:v>
                </c:pt>
                <c:pt idx="2">
                  <c:v>9.0047056635610687</c:v>
                </c:pt>
                <c:pt idx="3">
                  <c:v>17.799789315165423</c:v>
                </c:pt>
                <c:pt idx="4">
                  <c:v>37.680440859195699</c:v>
                </c:pt>
                <c:pt idx="5">
                  <c:v>93.321881971496225</c:v>
                </c:pt>
              </c:numCache>
            </c:numRef>
          </c:val>
          <c:extLst>
            <c:ext xmlns:c16="http://schemas.microsoft.com/office/drawing/2014/chart" uri="{C3380CC4-5D6E-409C-BE32-E72D297353CC}">
              <c16:uniqueId val="{00000000-700E-4DB1-949C-99C51B9D61AC}"/>
            </c:ext>
          </c:extLst>
        </c:ser>
        <c:dLbls>
          <c:showLegendKey val="0"/>
          <c:showVal val="0"/>
          <c:showCatName val="0"/>
          <c:showSerName val="0"/>
          <c:showPercent val="0"/>
          <c:showBubbleSize val="0"/>
        </c:dLbls>
        <c:gapWidth val="100"/>
        <c:overlap val="-24"/>
        <c:axId val="542220368"/>
        <c:axId val="542222008"/>
      </c:barChart>
      <c:catAx>
        <c:axId val="542220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2222008"/>
        <c:crosses val="autoZero"/>
        <c:auto val="1"/>
        <c:lblAlgn val="ctr"/>
        <c:lblOffset val="100"/>
        <c:noMultiLvlLbl val="0"/>
      </c:catAx>
      <c:valAx>
        <c:axId val="54222200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222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Average Energy Cost by Fuel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21389410110272714"/>
          <c:y val="0.16096549756531364"/>
          <c:w val="0.57221163306827227"/>
          <c:h val="0.70287963756407934"/>
        </c:manualLayout>
      </c:layout>
      <c:pieChart>
        <c:varyColors val="1"/>
        <c:ser>
          <c:idx val="4"/>
          <c:order val="4"/>
          <c:dPt>
            <c:idx val="0"/>
            <c:bubble3D val="0"/>
            <c:explosion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972C-46CA-A5B7-6D6DB9CEDB1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972C-46CA-A5B7-6D6DB9CEDB1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972C-46CA-A5B7-6D6DB9CEDB1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972C-46CA-A5B7-6D6DB9CEDB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972C-46CA-A5B7-6D6DB9CEDB1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972C-46CA-A5B7-6D6DB9CEDB12}"/>
              </c:ext>
            </c:extLst>
          </c:dPt>
          <c:dLbls>
            <c:dLbl>
              <c:idx val="1"/>
              <c:delete val="1"/>
              <c:extLst>
                <c:ext xmlns:c15="http://schemas.microsoft.com/office/drawing/2012/chart" uri="{CE6537A1-D6FC-4f65-9D91-7224C49458BB}"/>
                <c:ext xmlns:c16="http://schemas.microsoft.com/office/drawing/2014/chart" uri="{C3380CC4-5D6E-409C-BE32-E72D297353CC}">
                  <c16:uniqueId val="{00000003-972C-46CA-A5B7-6D6DB9CEDB12}"/>
                </c:ext>
              </c:extLst>
            </c:dLbl>
            <c:dLbl>
              <c:idx val="2"/>
              <c:layout>
                <c:manualLayout>
                  <c:x val="2.3012260411812313E-2"/>
                  <c:y val="-1.718036551237079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2C-46CA-A5B7-6D6DB9CEDB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'GHG Inventory'!$B$79:$B$84</c:f>
              <c:strCache>
                <c:ptCount val="6"/>
                <c:pt idx="0">
                  <c:v>Electricity</c:v>
                </c:pt>
                <c:pt idx="1">
                  <c:v>Natural Gas</c:v>
                </c:pt>
                <c:pt idx="2">
                  <c:v>Propane</c:v>
                </c:pt>
                <c:pt idx="3">
                  <c:v>Fuel Oil</c:v>
                </c:pt>
                <c:pt idx="4">
                  <c:v>Gasoline</c:v>
                </c:pt>
                <c:pt idx="5">
                  <c:v>Diesel</c:v>
                </c:pt>
              </c:strCache>
            </c:strRef>
          </c:cat>
          <c:val>
            <c:numRef>
              <c:f>'GHG Inventory'!$I$79:$I$84</c:f>
              <c:numCache>
                <c:formatCode>"$"#,##0</c:formatCode>
                <c:ptCount val="6"/>
                <c:pt idx="0">
                  <c:v>27091.367499999997</c:v>
                </c:pt>
                <c:pt idx="1">
                  <c:v>0</c:v>
                </c:pt>
                <c:pt idx="2">
                  <c:v>1735.4825000000001</c:v>
                </c:pt>
                <c:pt idx="3">
                  <c:v>3316.2049999999999</c:v>
                </c:pt>
                <c:pt idx="4">
                  <c:v>12518.805</c:v>
                </c:pt>
                <c:pt idx="5">
                  <c:v>16873.372500000001</c:v>
                </c:pt>
              </c:numCache>
            </c:numRef>
          </c:val>
          <c:extLs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0C-972C-46CA-A5B7-6D6DB9CEDB12}"/>
            </c:ext>
          </c:extLst>
        </c:ser>
        <c:dLbls>
          <c:dLblPos val="outEnd"/>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E-972C-46CA-A5B7-6D6DB9CEDB1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0-972C-46CA-A5B7-6D6DB9CEDB1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2-972C-46CA-A5B7-6D6DB9CEDB1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4-972C-46CA-A5B7-6D6DB9CEDB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6-972C-46CA-A5B7-6D6DB9CEDB1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8-972C-46CA-A5B7-6D6DB9CEDB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uri="{CE6537A1-D6FC-4f65-9D91-7224C49458BB}"/>
                  </c:extLst>
                </c:dLbls>
                <c:cat>
                  <c:strRef>
                    <c:extLst>
                      <c:ex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c:ext uri="{02D57815-91ED-43cb-92C2-25804820EDAC}">
                        <c15:formulaRef>
                          <c15:sqref>'GHG Inventory'!$C$79:$C$84</c15:sqref>
                        </c15:formulaRef>
                      </c:ext>
                    </c:extLst>
                    <c:numCache>
                      <c:formatCode>0.00</c:formatCode>
                      <c:ptCount val="6"/>
                      <c:pt idx="0">
                        <c:v>18.168307872</c:v>
                      </c:pt>
                      <c:pt idx="1">
                        <c:v>0</c:v>
                      </c:pt>
                      <c:pt idx="2">
                        <c:v>12.958792844118262</c:v>
                      </c:pt>
                      <c:pt idx="3">
                        <c:v>25.415846213859982</c:v>
                      </c:pt>
                      <c:pt idx="4">
                        <c:v>36.568203158821021</c:v>
                      </c:pt>
                      <c:pt idx="5">
                        <c:v>102.45470517730945</c:v>
                      </c:pt>
                    </c:numCache>
                  </c:numRef>
                </c:val>
                <c:extLst>
                  <c:ex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19-972C-46CA-A5B7-6D6DB9CEDB12}"/>
                  </c:ext>
                </c:extLst>
              </c15:ser>
            </c15:filteredPieSeries>
            <c15:filteredPieSeries>
              <c15: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B-972C-46CA-A5B7-6D6DB9CEDB1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D-972C-46CA-A5B7-6D6DB9CEDB1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F-972C-46CA-A5B7-6D6DB9CEDB1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21-972C-46CA-A5B7-6D6DB9CEDB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23-972C-46CA-A5B7-6D6DB9CEDB1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25-972C-46CA-A5B7-6D6DB9CEDB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xmlns:c15="http://schemas.microsoft.com/office/drawing/2012/chart">
                      <c:ext xmlns:c15="http://schemas.microsoft.com/office/drawing/2012/chart" uri="{02D57815-91ED-43cb-92C2-25804820EDAC}">
                        <c15:formulaRef>
                          <c15:sqref>'GHG Inventory'!$F$79:$F$84</c15:sqref>
                        </c15:formulaRef>
                      </c:ext>
                    </c:extLst>
                    <c:numCache>
                      <c:formatCode>0.00</c:formatCode>
                      <c:ptCount val="6"/>
                      <c:pt idx="0">
                        <c:v>16.982717855999997</c:v>
                      </c:pt>
                      <c:pt idx="1">
                        <c:v>0</c:v>
                      </c:pt>
                      <c:pt idx="2">
                        <c:v>9.1209332855548801</c:v>
                      </c:pt>
                      <c:pt idx="3">
                        <c:v>20.27324770708784</c:v>
                      </c:pt>
                      <c:pt idx="4">
                        <c:v>38.459521366947605</c:v>
                      </c:pt>
                      <c:pt idx="5">
                        <c:v>105.60704455189556</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26-972C-46CA-A5B7-6D6DB9CEDB12}"/>
                  </c:ext>
                </c:extLst>
              </c15:ser>
            </c15:filteredPieSeries>
            <c15:filteredPieSeries>
              <c15: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28-972C-46CA-A5B7-6D6DB9CEDB1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2A-972C-46CA-A5B7-6D6DB9CEDB1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2C-972C-46CA-A5B7-6D6DB9CEDB1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2E-972C-46CA-A5B7-6D6DB9CEDB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0-972C-46CA-A5B7-6D6DB9CEDB1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2-972C-46CA-A5B7-6D6DB9CEDB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xmlns:c15="http://schemas.microsoft.com/office/drawing/2012/chart">
                      <c:ext xmlns:c15="http://schemas.microsoft.com/office/drawing/2012/chart" uri="{02D57815-91ED-43cb-92C2-25804820EDAC}">
                        <c15:formulaRef>
                          <c15:sqref>'GHG Inventory'!$G$79:$G$84</c15:sqref>
                        </c15:formulaRef>
                      </c:ext>
                    </c:extLst>
                    <c:numCache>
                      <c:formatCode>0.00</c:formatCode>
                      <c:ptCount val="6"/>
                      <c:pt idx="0">
                        <c:v>0</c:v>
                      </c:pt>
                      <c:pt idx="1">
                        <c:v>0</c:v>
                      </c:pt>
                      <c:pt idx="2">
                        <c:v>0</c:v>
                      </c:pt>
                      <c:pt idx="3">
                        <c:v>0</c:v>
                      </c:pt>
                      <c:pt idx="4">
                        <c:v>0</c:v>
                      </c:pt>
                      <c:pt idx="5">
                        <c:v>0</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33-972C-46CA-A5B7-6D6DB9CEDB12}"/>
                  </c:ext>
                </c:extLst>
              </c15:ser>
            </c15:filteredPieSeries>
            <c15:filteredPieSeries>
              <c15:ser>
                <c:idx val="3"/>
                <c:order val="3"/>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5-972C-46CA-A5B7-6D6DB9CEDB1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7-972C-46CA-A5B7-6D6DB9CEDB1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9-972C-46CA-A5B7-6D6DB9CEDB1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B-972C-46CA-A5B7-6D6DB9CEDB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D-972C-46CA-A5B7-6D6DB9CEDB1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3F-972C-46CA-A5B7-6D6DB9CEDB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'GHG Inventory'!$B$79:$B$84</c15:sqref>
                        </c15:formulaRef>
                      </c:ext>
                    </c:extLst>
                    <c:strCache>
                      <c:ptCount val="6"/>
                      <c:pt idx="0">
                        <c:v>Electricity</c:v>
                      </c:pt>
                      <c:pt idx="1">
                        <c:v>Natural Gas</c:v>
                      </c:pt>
                      <c:pt idx="2">
                        <c:v>Propane</c:v>
                      </c:pt>
                      <c:pt idx="3">
                        <c:v>Fuel Oil</c:v>
                      </c:pt>
                      <c:pt idx="4">
                        <c:v>Gasoline</c:v>
                      </c:pt>
                      <c:pt idx="5">
                        <c:v>Diesel</c:v>
                      </c:pt>
                    </c:strCache>
                  </c:strRef>
                </c:cat>
                <c:val>
                  <c:numRef>
                    <c:extLst xmlns:c15="http://schemas.microsoft.com/office/drawing/2012/chart">
                      <c:ext xmlns:c15="http://schemas.microsoft.com/office/drawing/2012/chart" uri="{02D57815-91ED-43cb-92C2-25804820EDAC}">
                        <c15:formulaRef>
                          <c15:sqref>'GHG Inventory'!$H$79:$H$84</c15:sqref>
                        </c15:formulaRef>
                      </c:ext>
                    </c:extLst>
                    <c:numCache>
                      <c:formatCode>0.00</c:formatCode>
                      <c:ptCount val="6"/>
                      <c:pt idx="0">
                        <c:v>17.532791620499999</c:v>
                      </c:pt>
                      <c:pt idx="1">
                        <c:v>0</c:v>
                      </c:pt>
                      <c:pt idx="2">
                        <c:v>9.0047056635610687</c:v>
                      </c:pt>
                      <c:pt idx="3">
                        <c:v>17.799789315165423</c:v>
                      </c:pt>
                      <c:pt idx="4">
                        <c:v>37.680440859195699</c:v>
                      </c:pt>
                      <c:pt idx="5">
                        <c:v>93.321881971496225</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'GHG Inventory'!#REF!</c15:sqref>
                              </c15:formulaRef>
                            </c:ext>
                          </c:extLst>
                          <c:strCache>
                            <c:ptCount val="1"/>
                            <c:pt idx="0">
                              <c:v>#REF!</c:v>
                            </c:pt>
                          </c:strCache>
                        </c:strRef>
                      </c15:tx>
                    </c15:filteredSeriesTitle>
                  </c:ext>
                  <c:ext xmlns:c16="http://schemas.microsoft.com/office/drawing/2014/chart" uri="{C3380CC4-5D6E-409C-BE32-E72D297353CC}">
                    <c16:uniqueId val="{00000040-972C-46CA-A5B7-6D6DB9CEDB12}"/>
                  </c:ext>
                </c:extLst>
              </c15:ser>
            </c15:filteredPieSeries>
          </c:ext>
        </c:extLst>
      </c:pieChart>
      <c:spPr>
        <a:noFill/>
        <a:ln>
          <a:noFill/>
        </a:ln>
        <a:effectLst/>
      </c:spPr>
    </c:plotArea>
    <c:legend>
      <c:legendPos val="b"/>
      <c:layout>
        <c:manualLayout>
          <c:xMode val="edge"/>
          <c:yMode val="edge"/>
          <c:x val="0.18590760140920029"/>
          <c:y val="0.91520328024947661"/>
          <c:w val="0.62818479718159936"/>
          <c:h val="5.53023431643621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3</xdr:col>
      <xdr:colOff>574945</xdr:colOff>
      <xdr:row>2</xdr:row>
      <xdr:rowOff>180975</xdr:rowOff>
    </xdr:from>
    <xdr:ext cx="3223318" cy="593239"/>
    <xdr:sp macro="" textlink="">
      <xdr:nvSpPr>
        <xdr:cNvPr id="3" name="TextBox 2">
          <a:extLst>
            <a:ext uri="{FF2B5EF4-FFF2-40B4-BE49-F238E27FC236}">
              <a16:creationId xmlns:a16="http://schemas.microsoft.com/office/drawing/2014/main" id="{F3ABEF76-0407-42B8-BC26-80F6B2AFACA1}"/>
            </a:ext>
          </a:extLst>
        </xdr:cNvPr>
        <xdr:cNvSpPr txBox="1"/>
      </xdr:nvSpPr>
      <xdr:spPr>
        <a:xfrm>
          <a:off x="2403745" y="561975"/>
          <a:ext cx="3223318" cy="59323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600" b="1"/>
            <a:t>(Insert</a:t>
          </a:r>
          <a:r>
            <a:rPr lang="en-US" sz="1600" b="1" baseline="0"/>
            <a:t> Muncipality Name)</a:t>
          </a:r>
          <a:endParaRPr lang="en-US" sz="1600" b="1"/>
        </a:p>
        <a:p>
          <a:pPr algn="ctr"/>
          <a:r>
            <a:rPr lang="en-US" sz="1600" b="1"/>
            <a:t>Municipal GHG</a:t>
          </a:r>
          <a:r>
            <a:rPr lang="en-US" sz="1600" b="1" baseline="0"/>
            <a:t> Emissions Inventory</a:t>
          </a:r>
          <a:endParaRPr lang="en-US" sz="1600" b="1"/>
        </a:p>
      </xdr:txBody>
    </xdr:sp>
    <xdr:clientData/>
  </xdr:oneCellAnchor>
  <xdr:twoCellAnchor>
    <xdr:from>
      <xdr:col>1</xdr:col>
      <xdr:colOff>19050</xdr:colOff>
      <xdr:row>0</xdr:row>
      <xdr:rowOff>180975</xdr:rowOff>
    </xdr:from>
    <xdr:to>
      <xdr:col>3</xdr:col>
      <xdr:colOff>257175</xdr:colOff>
      <xdr:row>8</xdr:row>
      <xdr:rowOff>76200</xdr:rowOff>
    </xdr:to>
    <xdr:sp macro="" textlink="">
      <xdr:nvSpPr>
        <xdr:cNvPr id="6" name="TextBox 5">
          <a:extLst>
            <a:ext uri="{FF2B5EF4-FFF2-40B4-BE49-F238E27FC236}">
              <a16:creationId xmlns:a16="http://schemas.microsoft.com/office/drawing/2014/main" id="{6420F37A-DD75-408A-97D9-7CABF61157AF}"/>
            </a:ext>
          </a:extLst>
        </xdr:cNvPr>
        <xdr:cNvSpPr txBox="1"/>
      </xdr:nvSpPr>
      <xdr:spPr>
        <a:xfrm>
          <a:off x="628650" y="180975"/>
          <a:ext cx="1457325"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(replace</a:t>
          </a:r>
          <a:r>
            <a:rPr lang="en-US" sz="1100" b="1" baseline="0"/>
            <a:t> with municipality's logo/letterhead)</a:t>
          </a:r>
          <a:endParaRPr lang="en-US" sz="1100" b="1"/>
        </a:p>
      </xdr:txBody>
    </xdr:sp>
    <xdr:clientData/>
  </xdr:twoCellAnchor>
  <xdr:twoCellAnchor>
    <xdr:from>
      <xdr:col>9</xdr:col>
      <xdr:colOff>266700</xdr:colOff>
      <xdr:row>1</xdr:row>
      <xdr:rowOff>9525</xdr:rowOff>
    </xdr:from>
    <xdr:to>
      <xdr:col>13</xdr:col>
      <xdr:colOff>104775</xdr:colOff>
      <xdr:row>8</xdr:row>
      <xdr:rowOff>57150</xdr:rowOff>
    </xdr:to>
    <xdr:grpSp>
      <xdr:nvGrpSpPr>
        <xdr:cNvPr id="8" name="Group 7">
          <a:extLst>
            <a:ext uri="{FF2B5EF4-FFF2-40B4-BE49-F238E27FC236}">
              <a16:creationId xmlns:a16="http://schemas.microsoft.com/office/drawing/2014/main" id="{306363F6-3037-4A90-97EE-A79EEDC4A31F}"/>
            </a:ext>
          </a:extLst>
        </xdr:cNvPr>
        <xdr:cNvGrpSpPr/>
      </xdr:nvGrpSpPr>
      <xdr:grpSpPr>
        <a:xfrm>
          <a:off x="5753100" y="200025"/>
          <a:ext cx="2276475" cy="1381125"/>
          <a:chOff x="5753100" y="200025"/>
          <a:chExt cx="2276475" cy="1381125"/>
        </a:xfrm>
      </xdr:grpSpPr>
      <xdr:pic>
        <xdr:nvPicPr>
          <xdr:cNvPr id="5" name="Picture 4" descr="Image result for climate smart communities kingston">
            <a:extLst>
              <a:ext uri="{FF2B5EF4-FFF2-40B4-BE49-F238E27FC236}">
                <a16:creationId xmlns:a16="http://schemas.microsoft.com/office/drawing/2014/main" id="{818CB89B-22EE-4F47-8C47-D751E1138E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125" y="200025"/>
            <a:ext cx="1339040" cy="13430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TextBox 6">
            <a:extLst>
              <a:ext uri="{FF2B5EF4-FFF2-40B4-BE49-F238E27FC236}">
                <a16:creationId xmlns:a16="http://schemas.microsoft.com/office/drawing/2014/main" id="{A2439909-4459-4A33-ABF2-0455093E170B}"/>
              </a:ext>
            </a:extLst>
          </xdr:cNvPr>
          <xdr:cNvSpPr txBox="1"/>
        </xdr:nvSpPr>
        <xdr:spPr>
          <a:xfrm>
            <a:off x="5753100" y="1295400"/>
            <a:ext cx="22764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Remove or replace if N/A</a:t>
            </a:r>
          </a:p>
        </xdr:txBody>
      </xdr:sp>
    </xdr:grpSp>
    <xdr:clientData/>
  </xdr:twoCellAnchor>
  <xdr:oneCellAnchor>
    <xdr:from>
      <xdr:col>1</xdr:col>
      <xdr:colOff>0</xdr:colOff>
      <xdr:row>10</xdr:row>
      <xdr:rowOff>0</xdr:rowOff>
    </xdr:from>
    <xdr:ext cx="6873240" cy="9997440"/>
    <xdr:sp macro="" textlink="">
      <xdr:nvSpPr>
        <xdr:cNvPr id="13" name="TextBox 12">
          <a:extLst>
            <a:ext uri="{FF2B5EF4-FFF2-40B4-BE49-F238E27FC236}">
              <a16:creationId xmlns:a16="http://schemas.microsoft.com/office/drawing/2014/main" id="{082E16E0-74C4-49A9-AA78-F130E5EDC3C2}"/>
            </a:ext>
          </a:extLst>
        </xdr:cNvPr>
        <xdr:cNvSpPr txBox="1"/>
      </xdr:nvSpPr>
      <xdr:spPr>
        <a:xfrm>
          <a:off x="609600" y="1828800"/>
          <a:ext cx="6873240" cy="9997440"/>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Step 1: Create A Facility Master List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Creating the  Facility Master List tab is STEP ONE in a municipal GHG inventory. This is the shaded Column B in the Facility Master List tab.  List the facilities or groupings you will report in the GHG inventory. Because utility and community records have different names for things, adopt a "common" name people recognize.  Large facilities like "Town Hall" are typically are listed separately, but you can group similar infrastructure like "Pump Houses", "Streetlighting", "Parks", etc. into a single grouping.  Communities may group multiple buildings on a campus or in a park in one grouping.  Next, identify what energy sources in each facility to help make sure no energy is missed.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You can assign as many reporting categories in columns as you want, in addition to the default categories used by ICLEI to describe basic government operations categories. There is a report for that in GHG inventory tab. For example you could add "department" which may be relevant for larger communities.  Smaller communities, however, can create effective Climate Action Plans without complicated facilities groupings.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Step 2: List Energy Provider Accounts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List each unique utility or energy supplier account and link it to one of the items on the Facility Master List.  This is important to do before starting to collect data. List all accounts that relevant for the inventory period including closed accounts or newly opened ones. If a utility provides natural gas and electricity, is appears in two rows.  For campuses and groupings you may have multiple accounts linked. If fuel oil or propane is clearly linked to a facility, you can list it here. If not, tank fuels can be accounted for in a separate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Step 3: Collect Electricity and Natural Gas data from utilities in the "Electric Data" and "Gas Data" tabs.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Your inventory charts will draw from these tabs to make emission calculations and to draw charts in the GHG Inventory tab with results.  Each line is the monthly bill for one account. One possible way to obtain these data is to request monthly data from the utility in consolidated form, and then use that format for the tab - this is preferred over reading paper bills. Or research if your municpality has an online account with their utility to access the data, or a usage history portal, such as Central Hudson's listed below.  At a minimum, you need should get meter read to and from dates, usage, and energy costs and place them in the appropriate columns, keeping to the exact format in this Workbook.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Central Hudson Usage History Portal</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hlinkClick xmlns:r="http://schemas.openxmlformats.org/officeDocument/2006/relationships" r:id=""/>
            </a:rPr>
            <a:t>https://inet.cenhud.com/RetailChoice/ICforESCOs/InqAcct.aspx</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The previous 24 months of usage history are available here, accessible by provision of individual account number.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GHG Inventory tab formulas will search through the entire column of data in electricity and natural gas tabs and  associates energy with facility groups, using linkages in the Facility Master List and Energy Provider Accounts tab.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Step 4: Tank Fuels used at Facilities (only if you have them)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Use this tab to track tank fuel purchased, with line items for purchases and costs by year. If possible, break the data down in rows associated with a facility on Facility Master List. This is valuable to ensure emissions by facility are reported accurately in cases where primary heating fuels are propane or fuel oil. Because tank fuels are not metered, and sometime deliveries happen on either side of a calendar years, it may be more accurate to pull 3 to 4 years and look for average usage to help you assign data to a correct years.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Step 5: Fleet Fuel Data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Use this tab to track fleet fuel consumption data, that at a minimum, has rows of usage and cost data for each year, with columns for each type of on-road and off-road fuels used. Typically this is gasoline and diesel, but may include biodiesel blends, natural gas, propane, and electricity.  These data may be available by department or by vehicle, which may be helpful for a detailed Climate Action Plan, but the majority of small communities report fuel usage by year. If accounting for fleet electricity consumption here make sure that the electricity is not already being accounted for somewhere else, such as a facility, in order to avoid double counting.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Step 6: Employee Commute (Optional)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unicpalities may opt to obtain these data by surveying staff,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Step 7: Other Sources (Refrigerants, Landfill Methane, WWTP Methane)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be determined, as needed.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312420</xdr:colOff>
      <xdr:row>3</xdr:row>
      <xdr:rowOff>0</xdr:rowOff>
    </xdr:from>
    <xdr:ext cx="1988820" cy="1125693"/>
    <xdr:sp macro="" textlink="">
      <xdr:nvSpPr>
        <xdr:cNvPr id="2" name="TextBox 1">
          <a:extLst>
            <a:ext uri="{FF2B5EF4-FFF2-40B4-BE49-F238E27FC236}">
              <a16:creationId xmlns:a16="http://schemas.microsoft.com/office/drawing/2014/main" id="{0CCBD341-B845-4BE9-8AC5-51A62CF70B6D}"/>
            </a:ext>
          </a:extLst>
        </xdr:cNvPr>
        <xdr:cNvSpPr txBox="1"/>
      </xdr:nvSpPr>
      <xdr:spPr>
        <a:xfrm>
          <a:off x="3497580" y="861060"/>
          <a:ext cx="1988820" cy="112569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NOTE:</a:t>
          </a:r>
          <a:r>
            <a:rPr lang="en-US" sz="1100" b="1" baseline="0"/>
            <a:t> Cell C4 references the average of all the baseline year's  GHG emissions, but may be manually changed to a single year's baseline GHG emissions if needed.</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99805</xdr:colOff>
      <xdr:row>36</xdr:row>
      <xdr:rowOff>160268</xdr:rowOff>
    </xdr:from>
    <xdr:to>
      <xdr:col>8</xdr:col>
      <xdr:colOff>58392</xdr:colOff>
      <xdr:row>54</xdr:row>
      <xdr:rowOff>103119</xdr:rowOff>
    </xdr:to>
    <xdr:graphicFrame macro="">
      <xdr:nvGraphicFramePr>
        <xdr:cNvPr id="2" name="Chart 1">
          <a:extLst>
            <a:ext uri="{FF2B5EF4-FFF2-40B4-BE49-F238E27FC236}">
              <a16:creationId xmlns:a16="http://schemas.microsoft.com/office/drawing/2014/main" id="{0A8AABFB-7EC4-4D96-9C14-6C0BC6991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457200</xdr:colOff>
      <xdr:row>58</xdr:row>
      <xdr:rowOff>9525</xdr:rowOff>
    </xdr:from>
    <xdr:to>
      <xdr:col>15</xdr:col>
      <xdr:colOff>457200</xdr:colOff>
      <xdr:row>71</xdr:row>
      <xdr:rowOff>114300</xdr:rowOff>
    </xdr:to>
    <xdr:graphicFrame macro="">
      <xdr:nvGraphicFramePr>
        <xdr:cNvPr id="3" name="Chart 2">
          <a:extLst>
            <a:ext uri="{FF2B5EF4-FFF2-40B4-BE49-F238E27FC236}">
              <a16:creationId xmlns:a16="http://schemas.microsoft.com/office/drawing/2014/main" id="{5AA2E7B9-3A10-4D2B-9C4D-95D54589E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354541</xdr:colOff>
      <xdr:row>74</xdr:row>
      <xdr:rowOff>188384</xdr:rowOff>
    </xdr:from>
    <xdr:to>
      <xdr:col>16</xdr:col>
      <xdr:colOff>309033</xdr:colOff>
      <xdr:row>88</xdr:row>
      <xdr:rowOff>102659</xdr:rowOff>
    </xdr:to>
    <xdr:graphicFrame macro="">
      <xdr:nvGraphicFramePr>
        <xdr:cNvPr id="4" name="Chart 3">
          <a:extLst>
            <a:ext uri="{FF2B5EF4-FFF2-40B4-BE49-F238E27FC236}">
              <a16:creationId xmlns:a16="http://schemas.microsoft.com/office/drawing/2014/main" id="{9A13EE4A-78B1-45A3-91C6-EA1C9DEA6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590550</xdr:colOff>
      <xdr:row>1</xdr:row>
      <xdr:rowOff>57150</xdr:rowOff>
    </xdr:from>
    <xdr:ext cx="4921475" cy="342786"/>
    <xdr:sp macro="" textlink="">
      <xdr:nvSpPr>
        <xdr:cNvPr id="5" name="TextBox 4">
          <a:extLst>
            <a:ext uri="{FF2B5EF4-FFF2-40B4-BE49-F238E27FC236}">
              <a16:creationId xmlns:a16="http://schemas.microsoft.com/office/drawing/2014/main" id="{D00FC84A-5F9D-42BA-B009-DF1460FAE2A7}"/>
            </a:ext>
          </a:extLst>
        </xdr:cNvPr>
        <xdr:cNvSpPr txBox="1"/>
      </xdr:nvSpPr>
      <xdr:spPr>
        <a:xfrm>
          <a:off x="590550" y="247650"/>
          <a:ext cx="4921475" cy="342786"/>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b="1" baseline="0"/>
            <a:t>Basic GHG Emission Inventory Calculations (2015-2020) </a:t>
          </a:r>
          <a:endParaRPr lang="en-US" sz="1600" b="1"/>
        </a:p>
      </xdr:txBody>
    </xdr:sp>
    <xdr:clientData/>
  </xdr:oneCellAnchor>
  <xdr:twoCellAnchor>
    <xdr:from>
      <xdr:col>15</xdr:col>
      <xdr:colOff>675217</xdr:colOff>
      <xdr:row>58</xdr:row>
      <xdr:rowOff>3175</xdr:rowOff>
    </xdr:from>
    <xdr:to>
      <xdr:col>23</xdr:col>
      <xdr:colOff>370416</xdr:colOff>
      <xdr:row>71</xdr:row>
      <xdr:rowOff>107950</xdr:rowOff>
    </xdr:to>
    <xdr:graphicFrame macro="">
      <xdr:nvGraphicFramePr>
        <xdr:cNvPr id="6" name="Chart 5">
          <a:extLst>
            <a:ext uri="{FF2B5EF4-FFF2-40B4-BE49-F238E27FC236}">
              <a16:creationId xmlns:a16="http://schemas.microsoft.com/office/drawing/2014/main" id="{0680D4E7-FBB4-4C55-BC5D-A2A174E0F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613833</xdr:colOff>
      <xdr:row>111</xdr:row>
      <xdr:rowOff>119062</xdr:rowOff>
    </xdr:from>
    <xdr:to>
      <xdr:col>6</xdr:col>
      <xdr:colOff>593725</xdr:colOff>
      <xdr:row>125</xdr:row>
      <xdr:rowOff>180975</xdr:rowOff>
    </xdr:to>
    <xdr:graphicFrame macro="">
      <xdr:nvGraphicFramePr>
        <xdr:cNvPr id="7" name="Chart 6">
          <a:extLst>
            <a:ext uri="{FF2B5EF4-FFF2-40B4-BE49-F238E27FC236}">
              <a16:creationId xmlns:a16="http://schemas.microsoft.com/office/drawing/2014/main" id="{02F27201-999C-4A3A-9E2A-4D271778F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523345</xdr:colOff>
      <xdr:row>127</xdr:row>
      <xdr:rowOff>42862</xdr:rowOff>
    </xdr:from>
    <xdr:to>
      <xdr:col>6</xdr:col>
      <xdr:colOff>584200</xdr:colOff>
      <xdr:row>141</xdr:row>
      <xdr:rowOff>119062</xdr:rowOff>
    </xdr:to>
    <xdr:graphicFrame macro="">
      <xdr:nvGraphicFramePr>
        <xdr:cNvPr id="8" name="Chart 7">
          <a:extLst>
            <a:ext uri="{FF2B5EF4-FFF2-40B4-BE49-F238E27FC236}">
              <a16:creationId xmlns:a16="http://schemas.microsoft.com/office/drawing/2014/main" id="{91FC50B1-F44C-4837-B492-3F6A7B0D97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485775</xdr:colOff>
      <xdr:row>36</xdr:row>
      <xdr:rowOff>142875</xdr:rowOff>
    </xdr:from>
    <xdr:to>
      <xdr:col>21</xdr:col>
      <xdr:colOff>387212</xdr:colOff>
      <xdr:row>54</xdr:row>
      <xdr:rowOff>85726</xdr:rowOff>
    </xdr:to>
    <xdr:graphicFrame macro="">
      <xdr:nvGraphicFramePr>
        <xdr:cNvPr id="9" name="Chart 8">
          <a:extLst>
            <a:ext uri="{FF2B5EF4-FFF2-40B4-BE49-F238E27FC236}">
              <a16:creationId xmlns:a16="http://schemas.microsoft.com/office/drawing/2014/main" id="{D3370DC2-DAC6-4109-8B5D-B4ED8F40F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468235</xdr:colOff>
      <xdr:row>74</xdr:row>
      <xdr:rowOff>70757</xdr:rowOff>
    </xdr:from>
    <xdr:to>
      <xdr:col>29</xdr:col>
      <xdr:colOff>879473</xdr:colOff>
      <xdr:row>88</xdr:row>
      <xdr:rowOff>157843</xdr:rowOff>
    </xdr:to>
    <xdr:graphicFrame macro="">
      <xdr:nvGraphicFramePr>
        <xdr:cNvPr id="10" name="Chart 9">
          <a:extLst>
            <a:ext uri="{FF2B5EF4-FFF2-40B4-BE49-F238E27FC236}">
              <a16:creationId xmlns:a16="http://schemas.microsoft.com/office/drawing/2014/main" id="{41EE66D4-321B-47AA-A1B9-309D59D69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504294</xdr:colOff>
      <xdr:row>74</xdr:row>
      <xdr:rowOff>59871</xdr:rowOff>
    </xdr:from>
    <xdr:to>
      <xdr:col>24</xdr:col>
      <xdr:colOff>48987</xdr:colOff>
      <xdr:row>89</xdr:row>
      <xdr:rowOff>92529</xdr:rowOff>
    </xdr:to>
    <xdr:graphicFrame macro="">
      <xdr:nvGraphicFramePr>
        <xdr:cNvPr id="11" name="Chart 10">
          <a:extLst>
            <a:ext uri="{FF2B5EF4-FFF2-40B4-BE49-F238E27FC236}">
              <a16:creationId xmlns:a16="http://schemas.microsoft.com/office/drawing/2014/main" id="{7E3F3C22-58EE-4878-A341-7EFF84634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283027</xdr:colOff>
      <xdr:row>74</xdr:row>
      <xdr:rowOff>0</xdr:rowOff>
    </xdr:from>
    <xdr:to>
      <xdr:col>36</xdr:col>
      <xdr:colOff>174171</xdr:colOff>
      <xdr:row>89</xdr:row>
      <xdr:rowOff>114300</xdr:rowOff>
    </xdr:to>
    <xdr:graphicFrame macro="">
      <xdr:nvGraphicFramePr>
        <xdr:cNvPr id="12" name="Chart 11">
          <a:extLst>
            <a:ext uri="{FF2B5EF4-FFF2-40B4-BE49-F238E27FC236}">
              <a16:creationId xmlns:a16="http://schemas.microsoft.com/office/drawing/2014/main" id="{C60A9112-3126-43D4-A943-6E9B86E51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604836</xdr:colOff>
      <xdr:row>93</xdr:row>
      <xdr:rowOff>176212</xdr:rowOff>
    </xdr:from>
    <xdr:to>
      <xdr:col>2</xdr:col>
      <xdr:colOff>1790700</xdr:colOff>
      <xdr:row>105</xdr:row>
      <xdr:rowOff>9525</xdr:rowOff>
    </xdr:to>
    <xdr:graphicFrame macro="">
      <xdr:nvGraphicFramePr>
        <xdr:cNvPr id="13" name="Chart 12">
          <a:extLst>
            <a:ext uri="{FF2B5EF4-FFF2-40B4-BE49-F238E27FC236}">
              <a16:creationId xmlns:a16="http://schemas.microsoft.com/office/drawing/2014/main" id="{95FC64BE-EEDC-4998-B960-116E01338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189140</xdr:colOff>
      <xdr:row>94</xdr:row>
      <xdr:rowOff>10887</xdr:rowOff>
    </xdr:from>
    <xdr:to>
      <xdr:col>9</xdr:col>
      <xdr:colOff>633414</xdr:colOff>
      <xdr:row>105</xdr:row>
      <xdr:rowOff>21771</xdr:rowOff>
    </xdr:to>
    <xdr:graphicFrame macro="">
      <xdr:nvGraphicFramePr>
        <xdr:cNvPr id="14" name="Chart 13">
          <a:extLst>
            <a:ext uri="{FF2B5EF4-FFF2-40B4-BE49-F238E27FC236}">
              <a16:creationId xmlns:a16="http://schemas.microsoft.com/office/drawing/2014/main" id="{9603E1CB-80D6-4482-9E6C-3CBF3573C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xdr:colOff>
      <xdr:row>0</xdr:row>
      <xdr:rowOff>66675</xdr:rowOff>
    </xdr:from>
    <xdr:ext cx="9839325" cy="781240"/>
    <xdr:sp macro="" textlink="">
      <xdr:nvSpPr>
        <xdr:cNvPr id="2" name="TextBox 1">
          <a:extLst>
            <a:ext uri="{FF2B5EF4-FFF2-40B4-BE49-F238E27FC236}">
              <a16:creationId xmlns:a16="http://schemas.microsoft.com/office/drawing/2014/main" id="{CEE1CE73-AE94-479C-B001-2543588FDE7F}"/>
            </a:ext>
          </a:extLst>
        </xdr:cNvPr>
        <xdr:cNvSpPr txBox="1"/>
      </xdr:nvSpPr>
      <xdr:spPr>
        <a:xfrm>
          <a:off x="1695450" y="66675"/>
          <a:ext cx="9839325" cy="78124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Creating the </a:t>
          </a:r>
          <a:r>
            <a:rPr lang="en-US" sz="1100" baseline="0"/>
            <a:t> </a:t>
          </a:r>
          <a:r>
            <a:rPr lang="en-US" sz="1100"/>
            <a:t>Facility</a:t>
          </a:r>
          <a:r>
            <a:rPr lang="en-US" sz="1100" baseline="0"/>
            <a:t> </a:t>
          </a:r>
          <a:r>
            <a:rPr lang="en-US" sz="1100"/>
            <a:t>Master List tab is</a:t>
          </a:r>
          <a:r>
            <a:rPr lang="en-US" sz="1100" baseline="0"/>
            <a:t> STEP ONE in a municipal GHG inventory.  List the facilities or groupings you will report in the GHG inventory.  Because utility and community records have different names for things, adopt a "common" name people recognize.   Large facilities like "Town Hall" are typically are listed separately, but you can group similar infrastructure like "Pump Houses" into a single grouping.   Communities may group multiple buildings on a campus or in a park in one grouping.  Next, </a:t>
          </a:r>
          <a:r>
            <a:rPr lang="en-US" sz="1100" baseline="0">
              <a:solidFill>
                <a:schemeClr val="tx1"/>
              </a:solidFill>
              <a:effectLst/>
              <a:latin typeface="+mn-lt"/>
              <a:ea typeface="+mn-ea"/>
              <a:cs typeface="+mn-cs"/>
            </a:rPr>
            <a:t>identify what energy sources in each facility to help make sure no energy is missed.  </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581025</xdr:colOff>
      <xdr:row>0</xdr:row>
      <xdr:rowOff>104775</xdr:rowOff>
    </xdr:from>
    <xdr:ext cx="9172575" cy="609013"/>
    <xdr:sp macro="" textlink="">
      <xdr:nvSpPr>
        <xdr:cNvPr id="2" name="TextBox 1">
          <a:extLst>
            <a:ext uri="{FF2B5EF4-FFF2-40B4-BE49-F238E27FC236}">
              <a16:creationId xmlns:a16="http://schemas.microsoft.com/office/drawing/2014/main" id="{FEADBA30-7ED3-4B1D-AF79-8F630AB3795D}"/>
            </a:ext>
          </a:extLst>
        </xdr:cNvPr>
        <xdr:cNvSpPr txBox="1"/>
      </xdr:nvSpPr>
      <xdr:spPr>
        <a:xfrm>
          <a:off x="581025" y="104775"/>
          <a:ext cx="9172575" cy="609013"/>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Creating the Energy Provider Accounts</a:t>
          </a:r>
          <a:r>
            <a:rPr lang="en-US" sz="1100"/>
            <a:t> tab</a:t>
          </a:r>
          <a:r>
            <a:rPr lang="en-US" sz="1100" baseline="0"/>
            <a:t> is Step 2.  List each </a:t>
          </a:r>
          <a:r>
            <a:rPr lang="en-US" sz="1100"/>
            <a:t>unique utility</a:t>
          </a:r>
          <a:r>
            <a:rPr lang="en-US" sz="1100" baseline="0"/>
            <a:t> or energy supplier account linked to facility /group.  There is one row for each type, so if a utility provides natural gas and electricity, is appears in two rows.  </a:t>
          </a:r>
          <a:r>
            <a:rPr lang="en-US" sz="1100" baseline="0">
              <a:solidFill>
                <a:schemeClr val="tx1"/>
              </a:solidFill>
              <a:effectLst/>
              <a:latin typeface="+mn-lt"/>
              <a:ea typeface="+mn-ea"/>
              <a:cs typeface="+mn-cs"/>
            </a:rPr>
            <a:t>For campuses and groupings you may have multiple accounts linked.  </a:t>
          </a:r>
          <a:r>
            <a:rPr lang="en-US" sz="1100" baseline="0"/>
            <a:t>If fuel oil or propane is clearly linked to a facility, you can list it here.  If not, tank fuels can be accounted for in a separate tab.  </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7620</xdr:colOff>
      <xdr:row>0</xdr:row>
      <xdr:rowOff>15240</xdr:rowOff>
    </xdr:from>
    <xdr:ext cx="4609788" cy="264560"/>
    <xdr:sp macro="" textlink="">
      <xdr:nvSpPr>
        <xdr:cNvPr id="2" name="TextBox 1">
          <a:extLst>
            <a:ext uri="{FF2B5EF4-FFF2-40B4-BE49-F238E27FC236}">
              <a16:creationId xmlns:a16="http://schemas.microsoft.com/office/drawing/2014/main" id="{63C4988C-AC06-4F6A-88C2-FCACC6C582BE}"/>
            </a:ext>
          </a:extLst>
        </xdr:cNvPr>
        <xdr:cNvSpPr txBox="1"/>
      </xdr:nvSpPr>
      <xdr:spPr>
        <a:xfrm>
          <a:off x="601980" y="15240"/>
          <a:ext cx="4609788"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Enter</a:t>
          </a:r>
          <a:r>
            <a:rPr lang="en-US" sz="1100" baseline="0"/>
            <a:t> f</a:t>
          </a:r>
          <a:r>
            <a:rPr lang="en-US" sz="1100"/>
            <a:t>uel</a:t>
          </a:r>
          <a:r>
            <a:rPr lang="en-US" sz="1100" baseline="0"/>
            <a:t> consumption Data, by year.  Department is optional if you have it</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247650</xdr:colOff>
      <xdr:row>11</xdr:row>
      <xdr:rowOff>9524</xdr:rowOff>
    </xdr:from>
    <xdr:ext cx="7229475" cy="953466"/>
    <xdr:sp macro="" textlink="">
      <xdr:nvSpPr>
        <xdr:cNvPr id="2" name="TextBox 1">
          <a:extLst>
            <a:ext uri="{FF2B5EF4-FFF2-40B4-BE49-F238E27FC236}">
              <a16:creationId xmlns:a16="http://schemas.microsoft.com/office/drawing/2014/main" id="{C293F6DC-10C7-44B7-93C4-F2BF1AE45535}"/>
            </a:ext>
          </a:extLst>
        </xdr:cNvPr>
        <xdr:cNvSpPr txBox="1"/>
      </xdr:nvSpPr>
      <xdr:spPr>
        <a:xfrm>
          <a:off x="247650" y="2200274"/>
          <a:ext cx="7229475" cy="953466"/>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NOTE: The "CO2e" emission factors account for the small contribution</a:t>
          </a:r>
          <a:r>
            <a:rPr lang="en-US" sz="1100" baseline="0"/>
            <a:t> of methane (CH4) and nitrous oxide (N2O) to the carbon footprint a fuel.  They typically represent collectively 1.5 - 2% of the total carbon footprint.  Unlike CO2, emissions depend on technology used to burn the fuels and are complicated to estimate.  Following the recommendation of the New York Regional GHG Inventory Guidance referenced below, for the stationary fuels this tool simply adds 1.9% of the value of the CO2 factor from the the US EIA tables to derive the CO2e factor.</a:t>
          </a:r>
          <a:endParaRPr lang="en-US" sz="1100"/>
        </a:p>
      </xdr:txBody>
    </xdr:sp>
    <xdr:clientData/>
  </xdr:oneCellAnchor>
  <xdr:oneCellAnchor>
    <xdr:from>
      <xdr:col>0</xdr:col>
      <xdr:colOff>266700</xdr:colOff>
      <xdr:row>29</xdr:row>
      <xdr:rowOff>123823</xdr:rowOff>
    </xdr:from>
    <xdr:ext cx="7419975" cy="609013"/>
    <xdr:sp macro="" textlink="">
      <xdr:nvSpPr>
        <xdr:cNvPr id="3" name="TextBox 2">
          <a:extLst>
            <a:ext uri="{FF2B5EF4-FFF2-40B4-BE49-F238E27FC236}">
              <a16:creationId xmlns:a16="http://schemas.microsoft.com/office/drawing/2014/main" id="{8F03A457-B3AA-4204-B0AF-C2252F6B7E6E}"/>
            </a:ext>
          </a:extLst>
        </xdr:cNvPr>
        <xdr:cNvSpPr txBox="1"/>
      </xdr:nvSpPr>
      <xdr:spPr>
        <a:xfrm>
          <a:off x="266700" y="5743573"/>
          <a:ext cx="7419975" cy="609013"/>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NOTE: The</a:t>
          </a:r>
          <a:r>
            <a:rPr lang="en-US" sz="1100" baseline="0"/>
            <a:t> UNFCCC updates GWPs on a routine basis based on modeling and improved science.  The lastest version is AR-5.   Although new versions are released, emission inventory programs may not adopt them right away.  </a:t>
          </a:r>
          <a:r>
            <a:rPr lang="en-US" sz="1100"/>
            <a:t>This tool</a:t>
          </a:r>
          <a:r>
            <a:rPr lang="en-US" sz="1100" baseline="0"/>
            <a:t> uses the UNFCCC Assessment Report (AR-4) to mirror the AR report selection used by the US EPA in preparing the national GHG inventory.</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s://www.dec.ny.gov/docs/administration_pdf/ghgguide.pdf" TargetMode="External"/><Relationship Id="rId7" Type="http://schemas.openxmlformats.org/officeDocument/2006/relationships/drawing" Target="../drawings/drawing7.xml"/><Relationship Id="rId2" Type="http://schemas.openxmlformats.org/officeDocument/2006/relationships/hyperlink" Target="https://www.epa.gov/sites/production/files/2018-02/egrid2016_data_metric.xlsx" TargetMode="External"/><Relationship Id="rId1" Type="http://schemas.openxmlformats.org/officeDocument/2006/relationships/hyperlink" Target="https://www.eia.gov/environment/emissions/co2_vol_mass.php" TargetMode="External"/><Relationship Id="rId6" Type="http://schemas.openxmlformats.org/officeDocument/2006/relationships/printerSettings" Target="../printerSettings/printerSettings6.bin"/><Relationship Id="rId5" Type="http://schemas.openxmlformats.org/officeDocument/2006/relationships/hyperlink" Target="https://www.epa.gov/sites/production/files/2018-02/documents/egrid2016_summarytables.pdf" TargetMode="External"/><Relationship Id="rId4" Type="http://schemas.openxmlformats.org/officeDocument/2006/relationships/hyperlink" Target="https://www.ghgprotocol.org/sites/default/files/ghgp/Global-Warming-Potential-Values%20%28Feb%2016%202016%29_1.pdf" TargetMode="External"/><Relationship Id="rId9"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5942-F8CC-4AF8-881F-D35FE9AC22E6}">
  <dimension ref="A1"/>
  <sheetViews>
    <sheetView workbookViewId="0">
      <selection activeCell="G67" sqref="G67"/>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707C5-3878-4317-B43F-E79207D8257D}">
  <dimension ref="A1:G44"/>
  <sheetViews>
    <sheetView showGridLines="0" workbookViewId="0">
      <selection sqref="A1:G1"/>
    </sheetView>
  </sheetViews>
  <sheetFormatPr defaultRowHeight="15" x14ac:dyDescent="0.25"/>
  <cols>
    <col min="1" max="1" width="19" customWidth="1"/>
    <col min="2" max="2" width="11.42578125" customWidth="1"/>
    <col min="3" max="3" width="11.28515625" customWidth="1"/>
    <col min="4" max="4" width="8.85546875" customWidth="1"/>
    <col min="5" max="5" width="9.28515625" customWidth="1"/>
    <col min="6" max="6" width="7.5703125" style="49" customWidth="1"/>
    <col min="7" max="7" width="11.7109375" style="49" customWidth="1"/>
    <col min="257" max="257" width="19" customWidth="1"/>
    <col min="258" max="258" width="11.42578125" customWidth="1"/>
    <col min="259" max="259" width="11.28515625" customWidth="1"/>
    <col min="260" max="260" width="8.85546875" customWidth="1"/>
    <col min="261" max="261" width="9.28515625" customWidth="1"/>
    <col min="262" max="262" width="7.5703125" customWidth="1"/>
    <col min="263" max="263" width="11.7109375" customWidth="1"/>
    <col min="513" max="513" width="19" customWidth="1"/>
    <col min="514" max="514" width="11.42578125" customWidth="1"/>
    <col min="515" max="515" width="11.28515625" customWidth="1"/>
    <col min="516" max="516" width="8.85546875" customWidth="1"/>
    <col min="517" max="517" width="9.28515625" customWidth="1"/>
    <col min="518" max="518" width="7.5703125" customWidth="1"/>
    <col min="519" max="519" width="11.7109375" customWidth="1"/>
    <col min="769" max="769" width="19" customWidth="1"/>
    <col min="770" max="770" width="11.42578125" customWidth="1"/>
    <col min="771" max="771" width="11.28515625" customWidth="1"/>
    <col min="772" max="772" width="8.85546875" customWidth="1"/>
    <col min="773" max="773" width="9.28515625" customWidth="1"/>
    <col min="774" max="774" width="7.5703125" customWidth="1"/>
    <col min="775" max="775" width="11.7109375" customWidth="1"/>
    <col min="1025" max="1025" width="19" customWidth="1"/>
    <col min="1026" max="1026" width="11.42578125" customWidth="1"/>
    <col min="1027" max="1027" width="11.28515625" customWidth="1"/>
    <col min="1028" max="1028" width="8.85546875" customWidth="1"/>
    <col min="1029" max="1029" width="9.28515625" customWidth="1"/>
    <col min="1030" max="1030" width="7.5703125" customWidth="1"/>
    <col min="1031" max="1031" width="11.7109375" customWidth="1"/>
    <col min="1281" max="1281" width="19" customWidth="1"/>
    <col min="1282" max="1282" width="11.42578125" customWidth="1"/>
    <col min="1283" max="1283" width="11.28515625" customWidth="1"/>
    <col min="1284" max="1284" width="8.85546875" customWidth="1"/>
    <col min="1285" max="1285" width="9.28515625" customWidth="1"/>
    <col min="1286" max="1286" width="7.5703125" customWidth="1"/>
    <col min="1287" max="1287" width="11.7109375" customWidth="1"/>
    <col min="1537" max="1537" width="19" customWidth="1"/>
    <col min="1538" max="1538" width="11.42578125" customWidth="1"/>
    <col min="1539" max="1539" width="11.28515625" customWidth="1"/>
    <col min="1540" max="1540" width="8.85546875" customWidth="1"/>
    <col min="1541" max="1541" width="9.28515625" customWidth="1"/>
    <col min="1542" max="1542" width="7.5703125" customWidth="1"/>
    <col min="1543" max="1543" width="11.7109375" customWidth="1"/>
    <col min="1793" max="1793" width="19" customWidth="1"/>
    <col min="1794" max="1794" width="11.42578125" customWidth="1"/>
    <col min="1795" max="1795" width="11.28515625" customWidth="1"/>
    <col min="1796" max="1796" width="8.85546875" customWidth="1"/>
    <col min="1797" max="1797" width="9.28515625" customWidth="1"/>
    <col min="1798" max="1798" width="7.5703125" customWidth="1"/>
    <col min="1799" max="1799" width="11.7109375" customWidth="1"/>
    <col min="2049" max="2049" width="19" customWidth="1"/>
    <col min="2050" max="2050" width="11.42578125" customWidth="1"/>
    <col min="2051" max="2051" width="11.28515625" customWidth="1"/>
    <col min="2052" max="2052" width="8.85546875" customWidth="1"/>
    <col min="2053" max="2053" width="9.28515625" customWidth="1"/>
    <col min="2054" max="2054" width="7.5703125" customWidth="1"/>
    <col min="2055" max="2055" width="11.7109375" customWidth="1"/>
    <col min="2305" max="2305" width="19" customWidth="1"/>
    <col min="2306" max="2306" width="11.42578125" customWidth="1"/>
    <col min="2307" max="2307" width="11.28515625" customWidth="1"/>
    <col min="2308" max="2308" width="8.85546875" customWidth="1"/>
    <col min="2309" max="2309" width="9.28515625" customWidth="1"/>
    <col min="2310" max="2310" width="7.5703125" customWidth="1"/>
    <col min="2311" max="2311" width="11.7109375" customWidth="1"/>
    <col min="2561" max="2561" width="19" customWidth="1"/>
    <col min="2562" max="2562" width="11.42578125" customWidth="1"/>
    <col min="2563" max="2563" width="11.28515625" customWidth="1"/>
    <col min="2564" max="2564" width="8.85546875" customWidth="1"/>
    <col min="2565" max="2565" width="9.28515625" customWidth="1"/>
    <col min="2566" max="2566" width="7.5703125" customWidth="1"/>
    <col min="2567" max="2567" width="11.7109375" customWidth="1"/>
    <col min="2817" max="2817" width="19" customWidth="1"/>
    <col min="2818" max="2818" width="11.42578125" customWidth="1"/>
    <col min="2819" max="2819" width="11.28515625" customWidth="1"/>
    <col min="2820" max="2820" width="8.85546875" customWidth="1"/>
    <col min="2821" max="2821" width="9.28515625" customWidth="1"/>
    <col min="2822" max="2822" width="7.5703125" customWidth="1"/>
    <col min="2823" max="2823" width="11.7109375" customWidth="1"/>
    <col min="3073" max="3073" width="19" customWidth="1"/>
    <col min="3074" max="3074" width="11.42578125" customWidth="1"/>
    <col min="3075" max="3075" width="11.28515625" customWidth="1"/>
    <col min="3076" max="3076" width="8.85546875" customWidth="1"/>
    <col min="3077" max="3077" width="9.28515625" customWidth="1"/>
    <col min="3078" max="3078" width="7.5703125" customWidth="1"/>
    <col min="3079" max="3079" width="11.7109375" customWidth="1"/>
    <col min="3329" max="3329" width="19" customWidth="1"/>
    <col min="3330" max="3330" width="11.42578125" customWidth="1"/>
    <col min="3331" max="3331" width="11.28515625" customWidth="1"/>
    <col min="3332" max="3332" width="8.85546875" customWidth="1"/>
    <col min="3333" max="3333" width="9.28515625" customWidth="1"/>
    <col min="3334" max="3334" width="7.5703125" customWidth="1"/>
    <col min="3335" max="3335" width="11.7109375" customWidth="1"/>
    <col min="3585" max="3585" width="19" customWidth="1"/>
    <col min="3586" max="3586" width="11.42578125" customWidth="1"/>
    <col min="3587" max="3587" width="11.28515625" customWidth="1"/>
    <col min="3588" max="3588" width="8.85546875" customWidth="1"/>
    <col min="3589" max="3589" width="9.28515625" customWidth="1"/>
    <col min="3590" max="3590" width="7.5703125" customWidth="1"/>
    <col min="3591" max="3591" width="11.7109375" customWidth="1"/>
    <col min="3841" max="3841" width="19" customWidth="1"/>
    <col min="3842" max="3842" width="11.42578125" customWidth="1"/>
    <col min="3843" max="3843" width="11.28515625" customWidth="1"/>
    <col min="3844" max="3844" width="8.85546875" customWidth="1"/>
    <col min="3845" max="3845" width="9.28515625" customWidth="1"/>
    <col min="3846" max="3846" width="7.5703125" customWidth="1"/>
    <col min="3847" max="3847" width="11.7109375" customWidth="1"/>
    <col min="4097" max="4097" width="19" customWidth="1"/>
    <col min="4098" max="4098" width="11.42578125" customWidth="1"/>
    <col min="4099" max="4099" width="11.28515625" customWidth="1"/>
    <col min="4100" max="4100" width="8.85546875" customWidth="1"/>
    <col min="4101" max="4101" width="9.28515625" customWidth="1"/>
    <col min="4102" max="4102" width="7.5703125" customWidth="1"/>
    <col min="4103" max="4103" width="11.7109375" customWidth="1"/>
    <col min="4353" max="4353" width="19" customWidth="1"/>
    <col min="4354" max="4354" width="11.42578125" customWidth="1"/>
    <col min="4355" max="4355" width="11.28515625" customWidth="1"/>
    <col min="4356" max="4356" width="8.85546875" customWidth="1"/>
    <col min="4357" max="4357" width="9.28515625" customWidth="1"/>
    <col min="4358" max="4358" width="7.5703125" customWidth="1"/>
    <col min="4359" max="4359" width="11.7109375" customWidth="1"/>
    <col min="4609" max="4609" width="19" customWidth="1"/>
    <col min="4610" max="4610" width="11.42578125" customWidth="1"/>
    <col min="4611" max="4611" width="11.28515625" customWidth="1"/>
    <col min="4612" max="4612" width="8.85546875" customWidth="1"/>
    <col min="4613" max="4613" width="9.28515625" customWidth="1"/>
    <col min="4614" max="4614" width="7.5703125" customWidth="1"/>
    <col min="4615" max="4615" width="11.7109375" customWidth="1"/>
    <col min="4865" max="4865" width="19" customWidth="1"/>
    <col min="4866" max="4866" width="11.42578125" customWidth="1"/>
    <col min="4867" max="4867" width="11.28515625" customWidth="1"/>
    <col min="4868" max="4868" width="8.85546875" customWidth="1"/>
    <col min="4869" max="4869" width="9.28515625" customWidth="1"/>
    <col min="4870" max="4870" width="7.5703125" customWidth="1"/>
    <col min="4871" max="4871" width="11.7109375" customWidth="1"/>
    <col min="5121" max="5121" width="19" customWidth="1"/>
    <col min="5122" max="5122" width="11.42578125" customWidth="1"/>
    <col min="5123" max="5123" width="11.28515625" customWidth="1"/>
    <col min="5124" max="5124" width="8.85546875" customWidth="1"/>
    <col min="5125" max="5125" width="9.28515625" customWidth="1"/>
    <col min="5126" max="5126" width="7.5703125" customWidth="1"/>
    <col min="5127" max="5127" width="11.7109375" customWidth="1"/>
    <col min="5377" max="5377" width="19" customWidth="1"/>
    <col min="5378" max="5378" width="11.42578125" customWidth="1"/>
    <col min="5379" max="5379" width="11.28515625" customWidth="1"/>
    <col min="5380" max="5380" width="8.85546875" customWidth="1"/>
    <col min="5381" max="5381" width="9.28515625" customWidth="1"/>
    <col min="5382" max="5382" width="7.5703125" customWidth="1"/>
    <col min="5383" max="5383" width="11.7109375" customWidth="1"/>
    <col min="5633" max="5633" width="19" customWidth="1"/>
    <col min="5634" max="5634" width="11.42578125" customWidth="1"/>
    <col min="5635" max="5635" width="11.28515625" customWidth="1"/>
    <col min="5636" max="5636" width="8.85546875" customWidth="1"/>
    <col min="5637" max="5637" width="9.28515625" customWidth="1"/>
    <col min="5638" max="5638" width="7.5703125" customWidth="1"/>
    <col min="5639" max="5639" width="11.7109375" customWidth="1"/>
    <col min="5889" max="5889" width="19" customWidth="1"/>
    <col min="5890" max="5890" width="11.42578125" customWidth="1"/>
    <col min="5891" max="5891" width="11.28515625" customWidth="1"/>
    <col min="5892" max="5892" width="8.85546875" customWidth="1"/>
    <col min="5893" max="5893" width="9.28515625" customWidth="1"/>
    <col min="5894" max="5894" width="7.5703125" customWidth="1"/>
    <col min="5895" max="5895" width="11.7109375" customWidth="1"/>
    <col min="6145" max="6145" width="19" customWidth="1"/>
    <col min="6146" max="6146" width="11.42578125" customWidth="1"/>
    <col min="6147" max="6147" width="11.28515625" customWidth="1"/>
    <col min="6148" max="6148" width="8.85546875" customWidth="1"/>
    <col min="6149" max="6149" width="9.28515625" customWidth="1"/>
    <col min="6150" max="6150" width="7.5703125" customWidth="1"/>
    <col min="6151" max="6151" width="11.7109375" customWidth="1"/>
    <col min="6401" max="6401" width="19" customWidth="1"/>
    <col min="6402" max="6402" width="11.42578125" customWidth="1"/>
    <col min="6403" max="6403" width="11.28515625" customWidth="1"/>
    <col min="6404" max="6404" width="8.85546875" customWidth="1"/>
    <col min="6405" max="6405" width="9.28515625" customWidth="1"/>
    <col min="6406" max="6406" width="7.5703125" customWidth="1"/>
    <col min="6407" max="6407" width="11.7109375" customWidth="1"/>
    <col min="6657" max="6657" width="19" customWidth="1"/>
    <col min="6658" max="6658" width="11.42578125" customWidth="1"/>
    <col min="6659" max="6659" width="11.28515625" customWidth="1"/>
    <col min="6660" max="6660" width="8.85546875" customWidth="1"/>
    <col min="6661" max="6661" width="9.28515625" customWidth="1"/>
    <col min="6662" max="6662" width="7.5703125" customWidth="1"/>
    <col min="6663" max="6663" width="11.7109375" customWidth="1"/>
    <col min="6913" max="6913" width="19" customWidth="1"/>
    <col min="6914" max="6914" width="11.42578125" customWidth="1"/>
    <col min="6915" max="6915" width="11.28515625" customWidth="1"/>
    <col min="6916" max="6916" width="8.85546875" customWidth="1"/>
    <col min="6917" max="6917" width="9.28515625" customWidth="1"/>
    <col min="6918" max="6918" width="7.5703125" customWidth="1"/>
    <col min="6919" max="6919" width="11.7109375" customWidth="1"/>
    <col min="7169" max="7169" width="19" customWidth="1"/>
    <col min="7170" max="7170" width="11.42578125" customWidth="1"/>
    <col min="7171" max="7171" width="11.28515625" customWidth="1"/>
    <col min="7172" max="7172" width="8.85546875" customWidth="1"/>
    <col min="7173" max="7173" width="9.28515625" customWidth="1"/>
    <col min="7174" max="7174" width="7.5703125" customWidth="1"/>
    <col min="7175" max="7175" width="11.7109375" customWidth="1"/>
    <col min="7425" max="7425" width="19" customWidth="1"/>
    <col min="7426" max="7426" width="11.42578125" customWidth="1"/>
    <col min="7427" max="7427" width="11.28515625" customWidth="1"/>
    <col min="7428" max="7428" width="8.85546875" customWidth="1"/>
    <col min="7429" max="7429" width="9.28515625" customWidth="1"/>
    <col min="7430" max="7430" width="7.5703125" customWidth="1"/>
    <col min="7431" max="7431" width="11.7109375" customWidth="1"/>
    <col min="7681" max="7681" width="19" customWidth="1"/>
    <col min="7682" max="7682" width="11.42578125" customWidth="1"/>
    <col min="7683" max="7683" width="11.28515625" customWidth="1"/>
    <col min="7684" max="7684" width="8.85546875" customWidth="1"/>
    <col min="7685" max="7685" width="9.28515625" customWidth="1"/>
    <col min="7686" max="7686" width="7.5703125" customWidth="1"/>
    <col min="7687" max="7687" width="11.7109375" customWidth="1"/>
    <col min="7937" max="7937" width="19" customWidth="1"/>
    <col min="7938" max="7938" width="11.42578125" customWidth="1"/>
    <col min="7939" max="7939" width="11.28515625" customWidth="1"/>
    <col min="7940" max="7940" width="8.85546875" customWidth="1"/>
    <col min="7941" max="7941" width="9.28515625" customWidth="1"/>
    <col min="7942" max="7942" width="7.5703125" customWidth="1"/>
    <col min="7943" max="7943" width="11.7109375" customWidth="1"/>
    <col min="8193" max="8193" width="19" customWidth="1"/>
    <col min="8194" max="8194" width="11.42578125" customWidth="1"/>
    <col min="8195" max="8195" width="11.28515625" customWidth="1"/>
    <col min="8196" max="8196" width="8.85546875" customWidth="1"/>
    <col min="8197" max="8197" width="9.28515625" customWidth="1"/>
    <col min="8198" max="8198" width="7.5703125" customWidth="1"/>
    <col min="8199" max="8199" width="11.7109375" customWidth="1"/>
    <col min="8449" max="8449" width="19" customWidth="1"/>
    <col min="8450" max="8450" width="11.42578125" customWidth="1"/>
    <col min="8451" max="8451" width="11.28515625" customWidth="1"/>
    <col min="8452" max="8452" width="8.85546875" customWidth="1"/>
    <col min="8453" max="8453" width="9.28515625" customWidth="1"/>
    <col min="8454" max="8454" width="7.5703125" customWidth="1"/>
    <col min="8455" max="8455" width="11.7109375" customWidth="1"/>
    <col min="8705" max="8705" width="19" customWidth="1"/>
    <col min="8706" max="8706" width="11.42578125" customWidth="1"/>
    <col min="8707" max="8707" width="11.28515625" customWidth="1"/>
    <col min="8708" max="8708" width="8.85546875" customWidth="1"/>
    <col min="8709" max="8709" width="9.28515625" customWidth="1"/>
    <col min="8710" max="8710" width="7.5703125" customWidth="1"/>
    <col min="8711" max="8711" width="11.7109375" customWidth="1"/>
    <col min="8961" max="8961" width="19" customWidth="1"/>
    <col min="8962" max="8962" width="11.42578125" customWidth="1"/>
    <col min="8963" max="8963" width="11.28515625" customWidth="1"/>
    <col min="8964" max="8964" width="8.85546875" customWidth="1"/>
    <col min="8965" max="8965" width="9.28515625" customWidth="1"/>
    <col min="8966" max="8966" width="7.5703125" customWidth="1"/>
    <col min="8967" max="8967" width="11.7109375" customWidth="1"/>
    <col min="9217" max="9217" width="19" customWidth="1"/>
    <col min="9218" max="9218" width="11.42578125" customWidth="1"/>
    <col min="9219" max="9219" width="11.28515625" customWidth="1"/>
    <col min="9220" max="9220" width="8.85546875" customWidth="1"/>
    <col min="9221" max="9221" width="9.28515625" customWidth="1"/>
    <col min="9222" max="9222" width="7.5703125" customWidth="1"/>
    <col min="9223" max="9223" width="11.7109375" customWidth="1"/>
    <col min="9473" max="9473" width="19" customWidth="1"/>
    <col min="9474" max="9474" width="11.42578125" customWidth="1"/>
    <col min="9475" max="9475" width="11.28515625" customWidth="1"/>
    <col min="9476" max="9476" width="8.85546875" customWidth="1"/>
    <col min="9477" max="9477" width="9.28515625" customWidth="1"/>
    <col min="9478" max="9478" width="7.5703125" customWidth="1"/>
    <col min="9479" max="9479" width="11.7109375" customWidth="1"/>
    <col min="9729" max="9729" width="19" customWidth="1"/>
    <col min="9730" max="9730" width="11.42578125" customWidth="1"/>
    <col min="9731" max="9731" width="11.28515625" customWidth="1"/>
    <col min="9732" max="9732" width="8.85546875" customWidth="1"/>
    <col min="9733" max="9733" width="9.28515625" customWidth="1"/>
    <col min="9734" max="9734" width="7.5703125" customWidth="1"/>
    <col min="9735" max="9735" width="11.7109375" customWidth="1"/>
    <col min="9985" max="9985" width="19" customWidth="1"/>
    <col min="9986" max="9986" width="11.42578125" customWidth="1"/>
    <col min="9987" max="9987" width="11.28515625" customWidth="1"/>
    <col min="9988" max="9988" width="8.85546875" customWidth="1"/>
    <col min="9989" max="9989" width="9.28515625" customWidth="1"/>
    <col min="9990" max="9990" width="7.5703125" customWidth="1"/>
    <col min="9991" max="9991" width="11.7109375" customWidth="1"/>
    <col min="10241" max="10241" width="19" customWidth="1"/>
    <col min="10242" max="10242" width="11.42578125" customWidth="1"/>
    <col min="10243" max="10243" width="11.28515625" customWidth="1"/>
    <col min="10244" max="10244" width="8.85546875" customWidth="1"/>
    <col min="10245" max="10245" width="9.28515625" customWidth="1"/>
    <col min="10246" max="10246" width="7.5703125" customWidth="1"/>
    <col min="10247" max="10247" width="11.7109375" customWidth="1"/>
    <col min="10497" max="10497" width="19" customWidth="1"/>
    <col min="10498" max="10498" width="11.42578125" customWidth="1"/>
    <col min="10499" max="10499" width="11.28515625" customWidth="1"/>
    <col min="10500" max="10500" width="8.85546875" customWidth="1"/>
    <col min="10501" max="10501" width="9.28515625" customWidth="1"/>
    <col min="10502" max="10502" width="7.5703125" customWidth="1"/>
    <col min="10503" max="10503" width="11.7109375" customWidth="1"/>
    <col min="10753" max="10753" width="19" customWidth="1"/>
    <col min="10754" max="10754" width="11.42578125" customWidth="1"/>
    <col min="10755" max="10755" width="11.28515625" customWidth="1"/>
    <col min="10756" max="10756" width="8.85546875" customWidth="1"/>
    <col min="10757" max="10757" width="9.28515625" customWidth="1"/>
    <col min="10758" max="10758" width="7.5703125" customWidth="1"/>
    <col min="10759" max="10759" width="11.7109375" customWidth="1"/>
    <col min="11009" max="11009" width="19" customWidth="1"/>
    <col min="11010" max="11010" width="11.42578125" customWidth="1"/>
    <col min="11011" max="11011" width="11.28515625" customWidth="1"/>
    <col min="11012" max="11012" width="8.85546875" customWidth="1"/>
    <col min="11013" max="11013" width="9.28515625" customWidth="1"/>
    <col min="11014" max="11014" width="7.5703125" customWidth="1"/>
    <col min="11015" max="11015" width="11.7109375" customWidth="1"/>
    <col min="11265" max="11265" width="19" customWidth="1"/>
    <col min="11266" max="11266" width="11.42578125" customWidth="1"/>
    <col min="11267" max="11267" width="11.28515625" customWidth="1"/>
    <col min="11268" max="11268" width="8.85546875" customWidth="1"/>
    <col min="11269" max="11269" width="9.28515625" customWidth="1"/>
    <col min="11270" max="11270" width="7.5703125" customWidth="1"/>
    <col min="11271" max="11271" width="11.7109375" customWidth="1"/>
    <col min="11521" max="11521" width="19" customWidth="1"/>
    <col min="11522" max="11522" width="11.42578125" customWidth="1"/>
    <col min="11523" max="11523" width="11.28515625" customWidth="1"/>
    <col min="11524" max="11524" width="8.85546875" customWidth="1"/>
    <col min="11525" max="11525" width="9.28515625" customWidth="1"/>
    <col min="11526" max="11526" width="7.5703125" customWidth="1"/>
    <col min="11527" max="11527" width="11.7109375" customWidth="1"/>
    <col min="11777" max="11777" width="19" customWidth="1"/>
    <col min="11778" max="11778" width="11.42578125" customWidth="1"/>
    <col min="11779" max="11779" width="11.28515625" customWidth="1"/>
    <col min="11780" max="11780" width="8.85546875" customWidth="1"/>
    <col min="11781" max="11781" width="9.28515625" customWidth="1"/>
    <col min="11782" max="11782" width="7.5703125" customWidth="1"/>
    <col min="11783" max="11783" width="11.7109375" customWidth="1"/>
    <col min="12033" max="12033" width="19" customWidth="1"/>
    <col min="12034" max="12034" width="11.42578125" customWidth="1"/>
    <col min="12035" max="12035" width="11.28515625" customWidth="1"/>
    <col min="12036" max="12036" width="8.85546875" customWidth="1"/>
    <col min="12037" max="12037" width="9.28515625" customWidth="1"/>
    <col min="12038" max="12038" width="7.5703125" customWidth="1"/>
    <col min="12039" max="12039" width="11.7109375" customWidth="1"/>
    <col min="12289" max="12289" width="19" customWidth="1"/>
    <col min="12290" max="12290" width="11.42578125" customWidth="1"/>
    <col min="12291" max="12291" width="11.28515625" customWidth="1"/>
    <col min="12292" max="12292" width="8.85546875" customWidth="1"/>
    <col min="12293" max="12293" width="9.28515625" customWidth="1"/>
    <col min="12294" max="12294" width="7.5703125" customWidth="1"/>
    <col min="12295" max="12295" width="11.7109375" customWidth="1"/>
    <col min="12545" max="12545" width="19" customWidth="1"/>
    <col min="12546" max="12546" width="11.42578125" customWidth="1"/>
    <col min="12547" max="12547" width="11.28515625" customWidth="1"/>
    <col min="12548" max="12548" width="8.85546875" customWidth="1"/>
    <col min="12549" max="12549" width="9.28515625" customWidth="1"/>
    <col min="12550" max="12550" width="7.5703125" customWidth="1"/>
    <col min="12551" max="12551" width="11.7109375" customWidth="1"/>
    <col min="12801" max="12801" width="19" customWidth="1"/>
    <col min="12802" max="12802" width="11.42578125" customWidth="1"/>
    <col min="12803" max="12803" width="11.28515625" customWidth="1"/>
    <col min="12804" max="12804" width="8.85546875" customWidth="1"/>
    <col min="12805" max="12805" width="9.28515625" customWidth="1"/>
    <col min="12806" max="12806" width="7.5703125" customWidth="1"/>
    <col min="12807" max="12807" width="11.7109375" customWidth="1"/>
    <col min="13057" max="13057" width="19" customWidth="1"/>
    <col min="13058" max="13058" width="11.42578125" customWidth="1"/>
    <col min="13059" max="13059" width="11.28515625" customWidth="1"/>
    <col min="13060" max="13060" width="8.85546875" customWidth="1"/>
    <col min="13061" max="13061" width="9.28515625" customWidth="1"/>
    <col min="13062" max="13062" width="7.5703125" customWidth="1"/>
    <col min="13063" max="13063" width="11.7109375" customWidth="1"/>
    <col min="13313" max="13313" width="19" customWidth="1"/>
    <col min="13314" max="13314" width="11.42578125" customWidth="1"/>
    <col min="13315" max="13315" width="11.28515625" customWidth="1"/>
    <col min="13316" max="13316" width="8.85546875" customWidth="1"/>
    <col min="13317" max="13317" width="9.28515625" customWidth="1"/>
    <col min="13318" max="13318" width="7.5703125" customWidth="1"/>
    <col min="13319" max="13319" width="11.7109375" customWidth="1"/>
    <col min="13569" max="13569" width="19" customWidth="1"/>
    <col min="13570" max="13570" width="11.42578125" customWidth="1"/>
    <col min="13571" max="13571" width="11.28515625" customWidth="1"/>
    <col min="13572" max="13572" width="8.85546875" customWidth="1"/>
    <col min="13573" max="13573" width="9.28515625" customWidth="1"/>
    <col min="13574" max="13574" width="7.5703125" customWidth="1"/>
    <col min="13575" max="13575" width="11.7109375" customWidth="1"/>
    <col min="13825" max="13825" width="19" customWidth="1"/>
    <col min="13826" max="13826" width="11.42578125" customWidth="1"/>
    <col min="13827" max="13827" width="11.28515625" customWidth="1"/>
    <col min="13828" max="13828" width="8.85546875" customWidth="1"/>
    <col min="13829" max="13829" width="9.28515625" customWidth="1"/>
    <col min="13830" max="13830" width="7.5703125" customWidth="1"/>
    <col min="13831" max="13831" width="11.7109375" customWidth="1"/>
    <col min="14081" max="14081" width="19" customWidth="1"/>
    <col min="14082" max="14082" width="11.42578125" customWidth="1"/>
    <col min="14083" max="14083" width="11.28515625" customWidth="1"/>
    <col min="14084" max="14084" width="8.85546875" customWidth="1"/>
    <col min="14085" max="14085" width="9.28515625" customWidth="1"/>
    <col min="14086" max="14086" width="7.5703125" customWidth="1"/>
    <col min="14087" max="14087" width="11.7109375" customWidth="1"/>
    <col min="14337" max="14337" width="19" customWidth="1"/>
    <col min="14338" max="14338" width="11.42578125" customWidth="1"/>
    <col min="14339" max="14339" width="11.28515625" customWidth="1"/>
    <col min="14340" max="14340" width="8.85546875" customWidth="1"/>
    <col min="14341" max="14341" width="9.28515625" customWidth="1"/>
    <col min="14342" max="14342" width="7.5703125" customWidth="1"/>
    <col min="14343" max="14343" width="11.7109375" customWidth="1"/>
    <col min="14593" max="14593" width="19" customWidth="1"/>
    <col min="14594" max="14594" width="11.42578125" customWidth="1"/>
    <col min="14595" max="14595" width="11.28515625" customWidth="1"/>
    <col min="14596" max="14596" width="8.85546875" customWidth="1"/>
    <col min="14597" max="14597" width="9.28515625" customWidth="1"/>
    <col min="14598" max="14598" width="7.5703125" customWidth="1"/>
    <col min="14599" max="14599" width="11.7109375" customWidth="1"/>
    <col min="14849" max="14849" width="19" customWidth="1"/>
    <col min="14850" max="14850" width="11.42578125" customWidth="1"/>
    <col min="14851" max="14851" width="11.28515625" customWidth="1"/>
    <col min="14852" max="14852" width="8.85546875" customWidth="1"/>
    <col min="14853" max="14853" width="9.28515625" customWidth="1"/>
    <col min="14854" max="14854" width="7.5703125" customWidth="1"/>
    <col min="14855" max="14855" width="11.7109375" customWidth="1"/>
    <col min="15105" max="15105" width="19" customWidth="1"/>
    <col min="15106" max="15106" width="11.42578125" customWidth="1"/>
    <col min="15107" max="15107" width="11.28515625" customWidth="1"/>
    <col min="15108" max="15108" width="8.85546875" customWidth="1"/>
    <col min="15109" max="15109" width="9.28515625" customWidth="1"/>
    <col min="15110" max="15110" width="7.5703125" customWidth="1"/>
    <col min="15111" max="15111" width="11.7109375" customWidth="1"/>
    <col min="15361" max="15361" width="19" customWidth="1"/>
    <col min="15362" max="15362" width="11.42578125" customWidth="1"/>
    <col min="15363" max="15363" width="11.28515625" customWidth="1"/>
    <col min="15364" max="15364" width="8.85546875" customWidth="1"/>
    <col min="15365" max="15365" width="9.28515625" customWidth="1"/>
    <col min="15366" max="15366" width="7.5703125" customWidth="1"/>
    <col min="15367" max="15367" width="11.7109375" customWidth="1"/>
    <col min="15617" max="15617" width="19" customWidth="1"/>
    <col min="15618" max="15618" width="11.42578125" customWidth="1"/>
    <col min="15619" max="15619" width="11.28515625" customWidth="1"/>
    <col min="15620" max="15620" width="8.85546875" customWidth="1"/>
    <col min="15621" max="15621" width="9.28515625" customWidth="1"/>
    <col min="15622" max="15622" width="7.5703125" customWidth="1"/>
    <col min="15623" max="15623" width="11.7109375" customWidth="1"/>
    <col min="15873" max="15873" width="19" customWidth="1"/>
    <col min="15874" max="15874" width="11.42578125" customWidth="1"/>
    <col min="15875" max="15875" width="11.28515625" customWidth="1"/>
    <col min="15876" max="15876" width="8.85546875" customWidth="1"/>
    <col min="15877" max="15877" width="9.28515625" customWidth="1"/>
    <col min="15878" max="15878" width="7.5703125" customWidth="1"/>
    <col min="15879" max="15879" width="11.7109375" customWidth="1"/>
    <col min="16129" max="16129" width="19" customWidth="1"/>
    <col min="16130" max="16130" width="11.42578125" customWidth="1"/>
    <col min="16131" max="16131" width="11.28515625" customWidth="1"/>
    <col min="16132" max="16132" width="8.85546875" customWidth="1"/>
    <col min="16133" max="16133" width="9.28515625" customWidth="1"/>
    <col min="16134" max="16134" width="7.5703125" customWidth="1"/>
    <col min="16135" max="16135" width="11.7109375" customWidth="1"/>
  </cols>
  <sheetData>
    <row r="1" spans="1:7" ht="18.75" customHeight="1" x14ac:dyDescent="0.25">
      <c r="A1" s="367" t="s">
        <v>156</v>
      </c>
      <c r="B1" s="367"/>
      <c r="C1" s="367"/>
      <c r="D1" s="367"/>
      <c r="E1" s="367"/>
      <c r="F1" s="367"/>
      <c r="G1" s="367"/>
    </row>
    <row r="2" spans="1:7" ht="18.75" customHeight="1" x14ac:dyDescent="0.25">
      <c r="A2" s="197" t="s">
        <v>151</v>
      </c>
      <c r="B2" s="197"/>
      <c r="C2" s="197"/>
      <c r="D2" s="197"/>
      <c r="E2" s="197"/>
      <c r="F2" s="197"/>
      <c r="G2" s="197"/>
    </row>
    <row r="3" spans="1:7" ht="30" customHeight="1" x14ac:dyDescent="0.25">
      <c r="A3" s="185"/>
      <c r="B3" s="186" t="s">
        <v>157</v>
      </c>
      <c r="C3" s="186"/>
      <c r="D3" s="186" t="s">
        <v>158</v>
      </c>
      <c r="E3" s="186"/>
      <c r="F3" s="187" t="s">
        <v>159</v>
      </c>
      <c r="G3" s="187" t="s">
        <v>158</v>
      </c>
    </row>
    <row r="4" spans="1:7" ht="27.75" customHeight="1" thickBot="1" x14ac:dyDescent="0.3">
      <c r="A4" s="188" t="s">
        <v>160</v>
      </c>
      <c r="B4" s="189" t="s">
        <v>161</v>
      </c>
      <c r="C4" s="189"/>
      <c r="D4" s="189" t="s">
        <v>161</v>
      </c>
      <c r="E4" s="189"/>
      <c r="F4" s="190" t="s">
        <v>162</v>
      </c>
      <c r="G4" s="190" t="s">
        <v>162</v>
      </c>
    </row>
    <row r="5" spans="1:7" ht="15.75" customHeight="1" thickTop="1" x14ac:dyDescent="0.25">
      <c r="A5" s="368" t="s">
        <v>163</v>
      </c>
      <c r="B5" s="368"/>
      <c r="C5" s="368"/>
      <c r="D5" s="368"/>
      <c r="E5" s="368"/>
      <c r="F5" s="368"/>
      <c r="G5" s="368"/>
    </row>
    <row r="6" spans="1:7" x14ac:dyDescent="0.25">
      <c r="A6" s="191" t="s">
        <v>11</v>
      </c>
      <c r="B6" s="191">
        <v>12.7</v>
      </c>
      <c r="C6" s="191" t="s">
        <v>164</v>
      </c>
      <c r="D6" s="191">
        <f t="shared" ref="D6:D14" si="0">B6/2.20462</f>
        <v>5.7606299498326248</v>
      </c>
      <c r="E6" s="191" t="s">
        <v>164</v>
      </c>
      <c r="F6" s="191">
        <v>139.04859867504859</v>
      </c>
      <c r="G6" s="191">
        <f>(F6/2.20462)</f>
        <v>63.071458425963932</v>
      </c>
    </row>
    <row r="7" spans="1:7" x14ac:dyDescent="0.25">
      <c r="A7" s="191" t="s">
        <v>165</v>
      </c>
      <c r="B7" s="191">
        <v>14.8</v>
      </c>
      <c r="C7" s="191" t="s">
        <v>164</v>
      </c>
      <c r="D7" s="191">
        <f t="shared" si="0"/>
        <v>6.7131750596474689</v>
      </c>
      <c r="E7" s="191" t="s">
        <v>164</v>
      </c>
      <c r="F7" s="191">
        <v>143.19829002512873</v>
      </c>
      <c r="G7" s="191">
        <f t="shared" ref="G7:G14" si="1">(F7/2.20462)</f>
        <v>64.953728998706694</v>
      </c>
    </row>
    <row r="8" spans="1:7" ht="15" customHeight="1" x14ac:dyDescent="0.25">
      <c r="A8" s="191" t="s">
        <v>166</v>
      </c>
      <c r="B8" s="191">
        <v>13.7</v>
      </c>
      <c r="C8" s="191" t="s">
        <v>164</v>
      </c>
      <c r="D8" s="191">
        <f t="shared" si="0"/>
        <v>6.214222859268264</v>
      </c>
      <c r="E8" s="191" t="s">
        <v>164</v>
      </c>
      <c r="F8" s="191">
        <v>141.12344435008868</v>
      </c>
      <c r="G8" s="191">
        <f t="shared" si="1"/>
        <v>64.012593712335317</v>
      </c>
    </row>
    <row r="9" spans="1:7" ht="26.25" customHeight="1" x14ac:dyDescent="0.25">
      <c r="A9" s="191" t="s">
        <v>167</v>
      </c>
      <c r="B9" s="191">
        <v>22.4</v>
      </c>
      <c r="C9" s="191" t="s">
        <v>164</v>
      </c>
      <c r="D9" s="191">
        <f t="shared" si="0"/>
        <v>10.160481171358329</v>
      </c>
      <c r="E9" s="191" t="s">
        <v>164</v>
      </c>
      <c r="F9" s="191">
        <v>161.30000000000001</v>
      </c>
      <c r="G9" s="191">
        <f t="shared" si="1"/>
        <v>73.164536291968702</v>
      </c>
    </row>
    <row r="10" spans="1:7" x14ac:dyDescent="0.25">
      <c r="A10" s="191" t="s">
        <v>10</v>
      </c>
      <c r="B10" s="191">
        <v>21.5</v>
      </c>
      <c r="C10" s="191" t="s">
        <v>164</v>
      </c>
      <c r="D10" s="191">
        <f t="shared" si="0"/>
        <v>9.7522475528662547</v>
      </c>
      <c r="E10" s="191" t="s">
        <v>164</v>
      </c>
      <c r="F10" s="191">
        <v>159.4</v>
      </c>
      <c r="G10" s="191">
        <f t="shared" si="1"/>
        <v>72.302709764040983</v>
      </c>
    </row>
    <row r="11" spans="1:7" x14ac:dyDescent="0.25">
      <c r="A11" s="191" t="s">
        <v>168</v>
      </c>
      <c r="B11" s="191">
        <v>4631.5</v>
      </c>
      <c r="C11" s="191" t="s">
        <v>169</v>
      </c>
      <c r="D11" s="191">
        <f t="shared" si="0"/>
        <v>2100.8155600511654</v>
      </c>
      <c r="E11" s="191" t="s">
        <v>169</v>
      </c>
      <c r="F11" s="191">
        <v>210.2</v>
      </c>
      <c r="G11" s="191">
        <f t="shared" si="1"/>
        <v>95.345229563371475</v>
      </c>
    </row>
    <row r="12" spans="1:7" ht="24.75" x14ac:dyDescent="0.25">
      <c r="A12" s="191" t="s">
        <v>53</v>
      </c>
      <c r="B12" s="191">
        <v>117.1</v>
      </c>
      <c r="C12" s="191" t="s">
        <v>170</v>
      </c>
      <c r="D12" s="191">
        <f>B12/2.20462</f>
        <v>53.115729694913412</v>
      </c>
      <c r="E12" s="191" t="s">
        <v>170</v>
      </c>
      <c r="F12" s="191">
        <v>117</v>
      </c>
      <c r="G12" s="191">
        <f t="shared" si="1"/>
        <v>53.070370403969847</v>
      </c>
    </row>
    <row r="13" spans="1:7" ht="15" customHeight="1" x14ac:dyDescent="0.25">
      <c r="A13" s="191" t="s">
        <v>30</v>
      </c>
      <c r="B13" s="191">
        <v>19.600000000000001</v>
      </c>
      <c r="C13" s="191" t="s">
        <v>164</v>
      </c>
      <c r="D13" s="191">
        <f t="shared" si="0"/>
        <v>8.89042102493854</v>
      </c>
      <c r="E13" s="191" t="s">
        <v>164</v>
      </c>
      <c r="F13" s="191">
        <v>157.19999999999999</v>
      </c>
      <c r="G13" s="191">
        <v>71.3</v>
      </c>
    </row>
    <row r="14" spans="1:7" ht="24.75" x14ac:dyDescent="0.25">
      <c r="A14" s="191" t="s">
        <v>171</v>
      </c>
      <c r="B14" s="191">
        <v>26</v>
      </c>
      <c r="C14" s="191" t="s">
        <v>164</v>
      </c>
      <c r="D14" s="191">
        <f t="shared" si="0"/>
        <v>11.793415645326633</v>
      </c>
      <c r="E14" s="191" t="s">
        <v>164</v>
      </c>
      <c r="F14" s="191">
        <v>173.7</v>
      </c>
      <c r="G14" s="191">
        <f t="shared" si="1"/>
        <v>78.789088368970624</v>
      </c>
    </row>
    <row r="15" spans="1:7" ht="15.75" customHeight="1" x14ac:dyDescent="0.25">
      <c r="A15" s="369" t="s">
        <v>172</v>
      </c>
      <c r="B15" s="369"/>
      <c r="C15" s="369"/>
      <c r="D15" s="369"/>
      <c r="E15" s="369"/>
      <c r="F15" s="369"/>
      <c r="G15" s="369"/>
    </row>
    <row r="16" spans="1:7" ht="15" customHeight="1" x14ac:dyDescent="0.25">
      <c r="A16" s="191" t="s">
        <v>173</v>
      </c>
      <c r="B16" s="191">
        <v>21.1</v>
      </c>
      <c r="C16" s="191" t="s">
        <v>164</v>
      </c>
      <c r="D16" s="191">
        <f>B16/2.20462</f>
        <v>9.5708103890919993</v>
      </c>
      <c r="E16" s="191" t="s">
        <v>164</v>
      </c>
      <c r="F16" s="191">
        <v>156.30000000000001</v>
      </c>
      <c r="G16" s="191">
        <f>(F16/2.20462)</f>
        <v>70.896571744790492</v>
      </c>
    </row>
    <row r="17" spans="1:7" x14ac:dyDescent="0.25">
      <c r="A17" s="191" t="s">
        <v>174</v>
      </c>
      <c r="B17" s="191">
        <v>18.399999999999999</v>
      </c>
      <c r="C17" s="191" t="s">
        <v>164</v>
      </c>
      <c r="D17" s="191">
        <f>B17/2.20462</f>
        <v>8.3461095336157705</v>
      </c>
      <c r="E17" s="191" t="s">
        <v>164</v>
      </c>
      <c r="F17" s="191">
        <v>152.6</v>
      </c>
      <c r="G17" s="191">
        <v>69.2</v>
      </c>
    </row>
    <row r="18" spans="1:7" ht="15.75" customHeight="1" x14ac:dyDescent="0.25">
      <c r="A18" s="369" t="s">
        <v>175</v>
      </c>
      <c r="B18" s="369"/>
      <c r="C18" s="369"/>
      <c r="D18" s="369"/>
      <c r="E18" s="369"/>
      <c r="F18" s="369"/>
      <c r="G18" s="369"/>
    </row>
    <row r="19" spans="1:7" ht="22.5" customHeight="1" x14ac:dyDescent="0.25">
      <c r="A19" s="191" t="s">
        <v>176</v>
      </c>
      <c r="B19" s="191">
        <v>120.7</v>
      </c>
      <c r="C19" s="191" t="s">
        <v>170</v>
      </c>
      <c r="D19" s="191">
        <f>B19/2.20462</f>
        <v>54.748664168881717</v>
      </c>
      <c r="E19" s="191" t="s">
        <v>170</v>
      </c>
      <c r="F19" s="191">
        <v>120.6</v>
      </c>
      <c r="G19" s="191">
        <f>(F19/2.20462)</f>
        <v>54.703304877938152</v>
      </c>
    </row>
    <row r="20" spans="1:7" x14ac:dyDescent="0.25">
      <c r="A20" s="191" t="s">
        <v>177</v>
      </c>
      <c r="B20" s="191">
        <v>32.4</v>
      </c>
      <c r="C20" s="191" t="s">
        <v>164</v>
      </c>
      <c r="D20" s="191">
        <f>B20/2.20462</f>
        <v>14.696410265714727</v>
      </c>
      <c r="E20" s="191" t="s">
        <v>164</v>
      </c>
      <c r="F20" s="191">
        <v>225.1</v>
      </c>
      <c r="G20" s="191">
        <f>(F20/2.20462)</f>
        <v>102.10376391396251</v>
      </c>
    </row>
    <row r="21" spans="1:7" ht="24.75" x14ac:dyDescent="0.25">
      <c r="A21" s="191" t="s">
        <v>178</v>
      </c>
      <c r="B21" s="191">
        <f>F21*5.796/42</f>
        <v>22.093800000000002</v>
      </c>
      <c r="C21" s="191" t="s">
        <v>164</v>
      </c>
      <c r="D21" s="191">
        <f>B21/2.20462</f>
        <v>10.021591022489138</v>
      </c>
      <c r="E21" s="191" t="s">
        <v>164</v>
      </c>
      <c r="F21" s="191">
        <v>160.1</v>
      </c>
      <c r="G21" s="191">
        <f>(F21/2.20462)</f>
        <v>72.620224800645914</v>
      </c>
    </row>
    <row r="22" spans="1:7" ht="15.75" customHeight="1" x14ac:dyDescent="0.25">
      <c r="A22" s="369" t="s">
        <v>179</v>
      </c>
      <c r="B22" s="369"/>
      <c r="C22" s="369"/>
      <c r="D22" s="369"/>
      <c r="E22" s="369"/>
      <c r="F22" s="369"/>
      <c r="G22" s="369"/>
    </row>
    <row r="23" spans="1:7" x14ac:dyDescent="0.25">
      <c r="A23" s="191" t="s">
        <v>180</v>
      </c>
      <c r="B23" s="191">
        <f>F23*6.636/42</f>
        <v>26.3386</v>
      </c>
      <c r="C23" s="191" t="s">
        <v>164</v>
      </c>
      <c r="D23" s="191">
        <f>B23/2.20462</f>
        <v>11.94700220446154</v>
      </c>
      <c r="E23" s="191" t="s">
        <v>164</v>
      </c>
      <c r="F23" s="191">
        <v>166.7</v>
      </c>
      <c r="G23" s="191">
        <f>(F23/2.20462)</f>
        <v>75.613938002921145</v>
      </c>
    </row>
    <row r="24" spans="1:7" x14ac:dyDescent="0.25">
      <c r="A24" s="191" t="s">
        <v>181</v>
      </c>
      <c r="B24" s="191">
        <f>F24*6.065/42</f>
        <v>23.624619047619049</v>
      </c>
      <c r="C24" s="191" t="s">
        <v>164</v>
      </c>
      <c r="D24" s="191">
        <f>B24/2.20462</f>
        <v>10.715959688118158</v>
      </c>
      <c r="E24" s="191" t="s">
        <v>164</v>
      </c>
      <c r="F24" s="191">
        <v>163.6</v>
      </c>
      <c r="G24" s="191">
        <f>(F24/2.20462)</f>
        <v>74.207799983670654</v>
      </c>
    </row>
    <row r="25" spans="1:7" ht="24.75" x14ac:dyDescent="0.25">
      <c r="A25" s="191" t="s">
        <v>182</v>
      </c>
      <c r="B25" s="191">
        <f>F25*6.636/42</f>
        <v>24.742799999999999</v>
      </c>
      <c r="C25" s="191" t="s">
        <v>164</v>
      </c>
      <c r="D25" s="191">
        <f>B25/2.20462</f>
        <v>11.223158639584147</v>
      </c>
      <c r="E25" s="191" t="s">
        <v>164</v>
      </c>
      <c r="F25" s="191">
        <v>156.6</v>
      </c>
      <c r="G25" s="191">
        <f>(F25/2.20462)</f>
        <v>71.032649617621175</v>
      </c>
    </row>
    <row r="26" spans="1:7" ht="24.75" x14ac:dyDescent="0.25">
      <c r="A26" s="191" t="s">
        <v>183</v>
      </c>
      <c r="B26" s="191">
        <f>F26*5.248/42</f>
        <v>20.054857142857145</v>
      </c>
      <c r="C26" s="191" t="s">
        <v>164</v>
      </c>
      <c r="D26" s="191">
        <f>B26/2.20462</f>
        <v>9.0967409997446946</v>
      </c>
      <c r="E26" s="191" t="s">
        <v>164</v>
      </c>
      <c r="F26" s="191">
        <v>160.5</v>
      </c>
      <c r="G26" s="191">
        <f>(F26/2.20462)</f>
        <v>72.801661964420177</v>
      </c>
    </row>
    <row r="27" spans="1:7" x14ac:dyDescent="0.25">
      <c r="A27" s="191" t="s">
        <v>184</v>
      </c>
      <c r="B27" s="191">
        <f>F27*5.537/42</f>
        <v>21.106516666666668</v>
      </c>
      <c r="C27" s="191" t="s">
        <v>164</v>
      </c>
      <c r="D27" s="191">
        <f>B27/2.20462</f>
        <v>9.5737663028851543</v>
      </c>
      <c r="E27" s="191" t="s">
        <v>164</v>
      </c>
      <c r="F27" s="191">
        <v>160.1</v>
      </c>
      <c r="G27" s="191">
        <f>(F27/2.20462)</f>
        <v>72.620224800645914</v>
      </c>
    </row>
    <row r="28" spans="1:7" ht="15.75" customHeight="1" x14ac:dyDescent="0.25">
      <c r="A28" s="370" t="s">
        <v>185</v>
      </c>
      <c r="B28" s="370"/>
      <c r="C28" s="370"/>
      <c r="D28" s="370"/>
      <c r="E28" s="370"/>
      <c r="F28" s="370"/>
      <c r="G28" s="370"/>
    </row>
    <row r="29" spans="1:7" x14ac:dyDescent="0.25">
      <c r="A29" s="191" t="s">
        <v>186</v>
      </c>
      <c r="B29" s="191">
        <v>5685</v>
      </c>
      <c r="C29" s="191" t="s">
        <v>169</v>
      </c>
      <c r="D29" s="191">
        <f>B29/2.20462</f>
        <v>2578.675690141612</v>
      </c>
      <c r="E29" s="191" t="s">
        <v>169</v>
      </c>
      <c r="F29" s="191">
        <v>228.6</v>
      </c>
      <c r="G29" s="191">
        <v>103.7</v>
      </c>
    </row>
    <row r="30" spans="1:7" x14ac:dyDescent="0.25">
      <c r="A30" s="191" t="s">
        <v>187</v>
      </c>
      <c r="B30" s="191">
        <v>4931.3</v>
      </c>
      <c r="C30" s="191" t="s">
        <v>169</v>
      </c>
      <c r="D30" s="191">
        <f>B30/2.20462</f>
        <v>2236.8027142999704</v>
      </c>
      <c r="E30" s="191" t="s">
        <v>169</v>
      </c>
      <c r="F30" s="191">
        <v>205.7</v>
      </c>
      <c r="G30" s="191">
        <v>93.3</v>
      </c>
    </row>
    <row r="31" spans="1:7" x14ac:dyDescent="0.25">
      <c r="A31" s="191" t="s">
        <v>188</v>
      </c>
      <c r="B31" s="191">
        <v>3715.9</v>
      </c>
      <c r="C31" s="191" t="s">
        <v>169</v>
      </c>
      <c r="D31" s="191">
        <f>B31/2.20462</f>
        <v>1685.5058921718937</v>
      </c>
      <c r="E31" s="191" t="s">
        <v>169</v>
      </c>
      <c r="F31" s="191">
        <v>214.3</v>
      </c>
      <c r="G31" s="191">
        <v>97.2</v>
      </c>
    </row>
    <row r="32" spans="1:7" x14ac:dyDescent="0.25">
      <c r="A32" s="191" t="s">
        <v>189</v>
      </c>
      <c r="B32" s="191">
        <v>2791.6</v>
      </c>
      <c r="C32" s="191" t="s">
        <v>169</v>
      </c>
      <c r="D32" s="191">
        <f>B32/2.20462</f>
        <v>1266.2499659805319</v>
      </c>
      <c r="E32" s="191" t="s">
        <v>169</v>
      </c>
      <c r="F32" s="191">
        <v>215.4</v>
      </c>
      <c r="G32" s="191">
        <f>(F32/2.20462)</f>
        <v>97.703912692436802</v>
      </c>
    </row>
    <row r="33" spans="1:7" x14ac:dyDescent="0.25">
      <c r="A33" s="192" t="s">
        <v>190</v>
      </c>
      <c r="B33" s="192">
        <f>F33*24.8</f>
        <v>6239.68</v>
      </c>
      <c r="C33" s="192" t="s">
        <v>169</v>
      </c>
      <c r="D33" s="192">
        <f>B33/2.20462</f>
        <v>2830.2746051473728</v>
      </c>
      <c r="E33" s="192" t="s">
        <v>169</v>
      </c>
      <c r="F33" s="192">
        <v>251.6</v>
      </c>
      <c r="G33" s="192">
        <f>(F33/2.20462)</f>
        <v>114.12397601400696</v>
      </c>
    </row>
    <row r="34" spans="1:7" x14ac:dyDescent="0.25">
      <c r="A34" s="193" t="s">
        <v>191</v>
      </c>
      <c r="B34" s="192"/>
      <c r="C34" s="192"/>
      <c r="D34" s="192"/>
      <c r="E34" s="192"/>
      <c r="F34" s="192"/>
      <c r="G34" s="192"/>
    </row>
    <row r="35" spans="1:7" ht="24.75" x14ac:dyDescent="0.25">
      <c r="A35" s="192" t="s">
        <v>192</v>
      </c>
      <c r="B35" s="194" t="s">
        <v>193</v>
      </c>
      <c r="C35" s="194"/>
      <c r="D35" s="194" t="s">
        <v>193</v>
      </c>
      <c r="E35" s="192"/>
      <c r="F35" s="192">
        <v>16.989999999999998</v>
      </c>
      <c r="G35" s="192">
        <f>(F35/2.20462)</f>
        <v>7.7065435313115183</v>
      </c>
    </row>
    <row r="36" spans="1:7" x14ac:dyDescent="0.25">
      <c r="A36" s="192" t="s">
        <v>194</v>
      </c>
      <c r="B36" s="192">
        <v>5771</v>
      </c>
      <c r="C36" s="192" t="s">
        <v>169</v>
      </c>
      <c r="D36" s="192">
        <f>B36/2.20462</f>
        <v>2617.6846803530771</v>
      </c>
      <c r="E36" s="192" t="s">
        <v>169</v>
      </c>
      <c r="F36" s="192">
        <v>91.9</v>
      </c>
      <c r="G36" s="192">
        <f>(F36/2.20462)</f>
        <v>41.685188377135297</v>
      </c>
    </row>
    <row r="37" spans="1:7" x14ac:dyDescent="0.25">
      <c r="A37" s="192" t="s">
        <v>195</v>
      </c>
      <c r="B37" s="192">
        <v>6160</v>
      </c>
      <c r="C37" s="192" t="s">
        <v>169</v>
      </c>
      <c r="D37" s="192">
        <f>B37/2.20462</f>
        <v>2794.1323221235407</v>
      </c>
      <c r="E37" s="192" t="s">
        <v>169</v>
      </c>
      <c r="F37" s="192">
        <v>189.54</v>
      </c>
      <c r="G37" s="192">
        <f>(F37/2.20462)</f>
        <v>85.974000054431158</v>
      </c>
    </row>
    <row r="38" spans="1:7" ht="15.75" thickBot="1" x14ac:dyDescent="0.3">
      <c r="A38" s="185" t="s">
        <v>196</v>
      </c>
      <c r="B38" s="195">
        <f>F38*4.4</f>
        <v>924.00000000000011</v>
      </c>
      <c r="C38" s="185" t="s">
        <v>197</v>
      </c>
      <c r="D38" s="192">
        <f>B38/2.20462</f>
        <v>419.11984831853118</v>
      </c>
      <c r="E38" s="185" t="s">
        <v>197</v>
      </c>
      <c r="F38" s="196">
        <v>210</v>
      </c>
      <c r="G38" s="192">
        <f>(F38/2.20462)</f>
        <v>95.254510981484344</v>
      </c>
    </row>
    <row r="39" spans="1:7" ht="13.5" customHeight="1" x14ac:dyDescent="0.25">
      <c r="A39" s="364" t="s">
        <v>198</v>
      </c>
      <c r="B39" s="364"/>
      <c r="C39" s="364"/>
      <c r="D39" s="364"/>
      <c r="E39" s="364"/>
      <c r="F39" s="364"/>
      <c r="G39" s="364"/>
    </row>
    <row r="40" spans="1:7" ht="11.25" customHeight="1" x14ac:dyDescent="0.25">
      <c r="A40" s="365" t="s">
        <v>199</v>
      </c>
      <c r="B40" s="365"/>
      <c r="C40" s="365"/>
      <c r="D40" s="365"/>
      <c r="E40" s="365"/>
      <c r="F40" s="365"/>
      <c r="G40" s="365"/>
    </row>
    <row r="41" spans="1:7" ht="12.75" customHeight="1" x14ac:dyDescent="0.25">
      <c r="A41" s="365" t="s">
        <v>200</v>
      </c>
      <c r="B41" s="365"/>
      <c r="C41" s="365"/>
      <c r="D41" s="365"/>
      <c r="E41" s="365"/>
      <c r="F41" s="365"/>
      <c r="G41" s="365"/>
    </row>
    <row r="42" spans="1:7" ht="24" customHeight="1" x14ac:dyDescent="0.25">
      <c r="A42" s="185"/>
      <c r="B42" s="185"/>
      <c r="C42" s="185"/>
      <c r="D42" s="366"/>
      <c r="E42" s="366"/>
      <c r="F42" s="366"/>
      <c r="G42" s="366"/>
    </row>
    <row r="43" spans="1:7" ht="12" customHeight="1" x14ac:dyDescent="0.25">
      <c r="A43" s="185"/>
      <c r="B43" s="185"/>
      <c r="C43" s="185"/>
      <c r="D43" s="185"/>
      <c r="E43" s="185"/>
      <c r="F43" s="185"/>
      <c r="G43" s="185"/>
    </row>
    <row r="44" spans="1:7" x14ac:dyDescent="0.25">
      <c r="D44" s="185"/>
      <c r="E44" s="185"/>
      <c r="F44" s="196"/>
      <c r="G44" s="196"/>
    </row>
  </sheetData>
  <mergeCells count="10">
    <mergeCell ref="A39:G39"/>
    <mergeCell ref="A40:G40"/>
    <mergeCell ref="A41:G41"/>
    <mergeCell ref="D42:G42"/>
    <mergeCell ref="A1:G1"/>
    <mergeCell ref="A5:G5"/>
    <mergeCell ref="A15:G15"/>
    <mergeCell ref="A18:G18"/>
    <mergeCell ref="A22:G22"/>
    <mergeCell ref="A28:G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750EA-C39F-44EF-AA47-A9EEB8B21E03}">
  <dimension ref="A1:M68"/>
  <sheetViews>
    <sheetView workbookViewId="0">
      <selection activeCell="C4" sqref="C4"/>
    </sheetView>
  </sheetViews>
  <sheetFormatPr defaultRowHeight="15" x14ac:dyDescent="0.25"/>
  <cols>
    <col min="2" max="2" width="27.42578125" bestFit="1" customWidth="1"/>
    <col min="3" max="3" width="10.140625" customWidth="1"/>
    <col min="4" max="4" width="39.140625" customWidth="1"/>
    <col min="5" max="5" width="20.7109375" bestFit="1" customWidth="1"/>
    <col min="6" max="6" width="14.28515625" style="64" customWidth="1"/>
    <col min="7" max="9" width="12.85546875" style="64" customWidth="1"/>
    <col min="12" max="12" width="14" customWidth="1"/>
    <col min="13" max="13" width="9.140625" style="114"/>
  </cols>
  <sheetData>
    <row r="1" spans="1:12" ht="15.75" thickBot="1" x14ac:dyDescent="0.3">
      <c r="A1" s="114"/>
      <c r="B1" s="114"/>
      <c r="C1" s="114"/>
      <c r="D1" s="114"/>
      <c r="E1" s="114"/>
      <c r="F1" s="133"/>
      <c r="G1" s="133"/>
      <c r="H1" s="133"/>
      <c r="I1" s="133"/>
      <c r="J1" s="122"/>
      <c r="K1" s="122"/>
      <c r="L1" s="122"/>
    </row>
    <row r="2" spans="1:12" ht="38.25" customHeight="1" thickBot="1" x14ac:dyDescent="0.3">
      <c r="A2" s="114"/>
      <c r="B2" s="111" t="s">
        <v>100</v>
      </c>
      <c r="C2" s="112"/>
      <c r="D2" s="112"/>
      <c r="E2" s="112"/>
      <c r="F2" s="135"/>
      <c r="G2" s="135"/>
      <c r="H2" s="135"/>
      <c r="I2" s="134"/>
      <c r="J2" s="112"/>
      <c r="K2" s="112"/>
      <c r="L2" s="143"/>
    </row>
    <row r="3" spans="1:12" ht="15.75" thickBot="1" x14ac:dyDescent="0.3">
      <c r="A3" s="144"/>
      <c r="B3" s="113"/>
      <c r="C3" s="114"/>
      <c r="D3" s="114"/>
      <c r="E3" s="114"/>
      <c r="F3" s="132"/>
      <c r="G3" s="132"/>
      <c r="H3" s="132"/>
      <c r="I3" s="132"/>
      <c r="J3" s="114"/>
      <c r="K3" s="114"/>
      <c r="L3" s="176"/>
    </row>
    <row r="4" spans="1:12" x14ac:dyDescent="0.25">
      <c r="A4" s="144"/>
      <c r="B4" s="115" t="s">
        <v>135</v>
      </c>
      <c r="C4" s="129">
        <f>'GHG Inventory'!H60</f>
        <v>174.63284635991837</v>
      </c>
      <c r="D4" s="114"/>
      <c r="E4" s="114"/>
      <c r="F4" s="132"/>
      <c r="G4" s="132"/>
      <c r="H4" s="132"/>
      <c r="I4" s="132"/>
      <c r="J4" s="114"/>
      <c r="K4" s="114"/>
      <c r="L4" s="144"/>
    </row>
    <row r="5" spans="1:12" ht="15.75" thickBot="1" x14ac:dyDescent="0.3">
      <c r="A5" s="144"/>
      <c r="B5" s="116" t="s">
        <v>101</v>
      </c>
      <c r="C5" s="117">
        <v>0.2</v>
      </c>
      <c r="D5" s="114"/>
      <c r="E5" s="114"/>
      <c r="F5" s="132"/>
      <c r="G5" s="132"/>
      <c r="H5" s="132"/>
      <c r="I5" s="132"/>
      <c r="J5" s="114"/>
      <c r="K5" s="114"/>
      <c r="L5" s="144"/>
    </row>
    <row r="6" spans="1:12" ht="16.5" thickTop="1" thickBot="1" x14ac:dyDescent="0.3">
      <c r="A6" s="144"/>
      <c r="B6" s="118" t="s">
        <v>136</v>
      </c>
      <c r="C6" s="130">
        <f>C4*C5</f>
        <v>34.926569271983674</v>
      </c>
      <c r="D6" s="114"/>
      <c r="E6" s="114"/>
      <c r="F6" s="132"/>
      <c r="G6" s="132"/>
      <c r="H6" s="132"/>
      <c r="I6" s="132"/>
      <c r="J6" s="114"/>
      <c r="K6" s="114"/>
      <c r="L6" s="144"/>
    </row>
    <row r="7" spans="1:12" ht="15.75" thickBot="1" x14ac:dyDescent="0.3">
      <c r="A7" s="144"/>
      <c r="B7" s="113"/>
      <c r="C7" s="114"/>
      <c r="D7" s="114"/>
      <c r="E7" s="114"/>
      <c r="F7" s="132"/>
      <c r="G7" s="132"/>
      <c r="H7" s="132"/>
      <c r="I7" s="132"/>
      <c r="J7" s="114"/>
      <c r="K7" s="114"/>
      <c r="L7" s="144"/>
    </row>
    <row r="8" spans="1:12" x14ac:dyDescent="0.25">
      <c r="A8" s="144"/>
      <c r="B8" s="115" t="s">
        <v>137</v>
      </c>
      <c r="C8" s="131">
        <f>SUM(E:E)</f>
        <v>15.741016356000001</v>
      </c>
      <c r="D8" s="114"/>
      <c r="E8" s="114"/>
      <c r="F8" s="132"/>
      <c r="G8" s="132"/>
      <c r="H8" s="132"/>
      <c r="I8" s="132"/>
      <c r="J8" s="114"/>
      <c r="K8" s="114"/>
      <c r="L8" s="144"/>
    </row>
    <row r="9" spans="1:12" ht="15.75" thickBot="1" x14ac:dyDescent="0.3">
      <c r="A9" s="144"/>
      <c r="B9" s="119" t="s">
        <v>102</v>
      </c>
      <c r="C9" s="120">
        <f>IFERROR(C8/C4," ")</f>
        <v>9.0137775820006732E-2</v>
      </c>
      <c r="D9" s="114"/>
      <c r="E9" s="114"/>
      <c r="F9" s="132"/>
      <c r="G9" s="132"/>
      <c r="H9" s="132"/>
      <c r="I9" s="132"/>
      <c r="J9" s="114"/>
      <c r="K9" s="114"/>
      <c r="L9" s="144"/>
    </row>
    <row r="10" spans="1:12" x14ac:dyDescent="0.25">
      <c r="A10" s="144"/>
      <c r="B10" s="114"/>
      <c r="C10" s="114"/>
      <c r="D10" s="114"/>
      <c r="E10" s="114"/>
      <c r="F10" s="132"/>
      <c r="G10" s="132"/>
      <c r="H10" s="132"/>
      <c r="I10" s="132"/>
      <c r="J10" s="114"/>
      <c r="K10" s="114"/>
      <c r="L10" s="144"/>
    </row>
    <row r="11" spans="1:12" x14ac:dyDescent="0.25">
      <c r="A11" s="144"/>
      <c r="B11" s="114"/>
      <c r="C11" s="114"/>
      <c r="D11" s="114"/>
      <c r="E11" s="114"/>
      <c r="F11" s="132"/>
      <c r="G11" s="132"/>
      <c r="H11" s="132"/>
      <c r="I11" s="132"/>
      <c r="J11" s="114"/>
      <c r="K11" s="114"/>
      <c r="L11" s="144"/>
    </row>
    <row r="12" spans="1:12" ht="15.75" thickBot="1" x14ac:dyDescent="0.3">
      <c r="A12" s="144"/>
      <c r="B12" s="121"/>
      <c r="C12" s="122"/>
      <c r="D12" s="122"/>
      <c r="E12" s="122"/>
      <c r="F12" s="133"/>
      <c r="G12" s="133"/>
      <c r="H12" s="133"/>
      <c r="I12" s="133"/>
      <c r="J12" s="122"/>
      <c r="K12" s="122"/>
      <c r="L12" s="145"/>
    </row>
    <row r="13" spans="1:12" ht="33.75" customHeight="1" thickBot="1" x14ac:dyDescent="0.3">
      <c r="A13" s="144"/>
      <c r="B13" s="123" t="s">
        <v>103</v>
      </c>
      <c r="C13" s="124"/>
      <c r="D13" s="124"/>
      <c r="E13" s="112"/>
      <c r="F13" s="134"/>
      <c r="G13" s="134"/>
      <c r="H13" s="134"/>
      <c r="I13" s="135"/>
      <c r="J13" s="142"/>
      <c r="K13" s="142"/>
      <c r="L13" s="143"/>
    </row>
    <row r="14" spans="1:12" ht="45" x14ac:dyDescent="0.25">
      <c r="A14" s="114"/>
      <c r="B14" s="342" t="s">
        <v>104</v>
      </c>
      <c r="C14" s="343"/>
      <c r="D14" s="125" t="s">
        <v>105</v>
      </c>
      <c r="E14" s="169" t="s">
        <v>138</v>
      </c>
      <c r="F14" s="170" t="s">
        <v>139</v>
      </c>
      <c r="G14" s="171" t="s">
        <v>140</v>
      </c>
      <c r="H14" s="171" t="s">
        <v>141</v>
      </c>
      <c r="I14" s="172" t="s">
        <v>142</v>
      </c>
      <c r="J14" s="171" t="s">
        <v>143</v>
      </c>
      <c r="K14" s="171" t="s">
        <v>144</v>
      </c>
      <c r="L14" s="174" t="s">
        <v>145</v>
      </c>
    </row>
    <row r="15" spans="1:12" s="312" customFormat="1" x14ac:dyDescent="0.25">
      <c r="B15" s="252" t="s">
        <v>106</v>
      </c>
      <c r="C15" s="253"/>
      <c r="D15" s="259" t="s">
        <v>126</v>
      </c>
      <c r="E15" s="255">
        <f>(F15/1000*'Factors and Sources'!$C$6/1000)+(G15/10*'Factors and Sources'!$C$7/1000)+(H15*'Factors and Sources'!$C$10/1000)+(I15*'Factors and Sources'!$C$13/1000)+(J15*'Factors and Sources'!$F$20/1000)+(K15*'Factors and Sources'!$F$21/1000)</f>
        <v>12.246130026000001</v>
      </c>
      <c r="F15" s="256">
        <v>91227</v>
      </c>
      <c r="G15" s="257"/>
      <c r="H15" s="257"/>
      <c r="I15" s="258"/>
      <c r="J15" s="259"/>
      <c r="K15" s="259"/>
      <c r="L15" s="260">
        <f>IFERROR((E15/$C$4),"")</f>
        <v>7.012500959161326E-2</v>
      </c>
    </row>
    <row r="16" spans="1:12" x14ac:dyDescent="0.25">
      <c r="A16" s="114"/>
      <c r="B16" s="126" t="s">
        <v>106</v>
      </c>
      <c r="C16" s="29"/>
      <c r="D16" s="13" t="s">
        <v>107</v>
      </c>
      <c r="E16" s="139">
        <f>(F16/1000*'Factors and Sources'!$C$6/1000)+(G16/10*'Factors and Sources'!$C$7/1000)+(H16*'Factors and Sources'!$C$10/1000)+(I16*'Factors and Sources'!$C$13/1000)+(J16*'Factors and Sources'!$F$20/1000)+(K16*'Factors and Sources'!$F$21/1000)</f>
        <v>0</v>
      </c>
      <c r="F16" s="137"/>
      <c r="G16" s="61"/>
      <c r="H16" s="61"/>
      <c r="I16" s="140"/>
      <c r="J16" s="13"/>
      <c r="K16" s="13"/>
      <c r="L16" s="173">
        <f t="shared" ref="L16:L67" si="0">IFERROR((E16/$C$4),"")</f>
        <v>0</v>
      </c>
    </row>
    <row r="17" spans="1:12" x14ac:dyDescent="0.25">
      <c r="A17" s="114"/>
      <c r="B17" s="126" t="s">
        <v>106</v>
      </c>
      <c r="C17" s="29"/>
      <c r="D17" s="13" t="s">
        <v>108</v>
      </c>
      <c r="E17" s="139">
        <f>(F17/1000*'Factors and Sources'!$C$6/1000)+(G17/10*'Factors and Sources'!$C$7/1000)+(H17*'Factors and Sources'!$C$10/1000)+(I17*'Factors and Sources'!$C$13/1000)+(J17*'Factors and Sources'!$F$20/1000)+(K17*'Factors and Sources'!$F$21/1000)</f>
        <v>0</v>
      </c>
      <c r="F17" s="137"/>
      <c r="G17" s="61"/>
      <c r="H17" s="61"/>
      <c r="I17" s="140"/>
      <c r="J17" s="13"/>
      <c r="K17" s="13"/>
      <c r="L17" s="173">
        <f t="shared" si="0"/>
        <v>0</v>
      </c>
    </row>
    <row r="18" spans="1:12" x14ac:dyDescent="0.25">
      <c r="A18" s="114"/>
      <c r="B18" s="126" t="s">
        <v>106</v>
      </c>
      <c r="C18" s="29"/>
      <c r="D18" s="13" t="s">
        <v>109</v>
      </c>
      <c r="E18" s="139">
        <f>(F18/1000*'Factors and Sources'!$C$6/1000)+(G18/10*'Factors and Sources'!$C$7/1000)+(H18*'Factors and Sources'!$C$10/1000)+(I18*'Factors and Sources'!$C$13/1000)+(J18*'Factors and Sources'!$F$20/1000)+(K18*'Factors and Sources'!$F$21/1000)</f>
        <v>0</v>
      </c>
      <c r="F18" s="137"/>
      <c r="G18" s="61"/>
      <c r="H18" s="61"/>
      <c r="I18" s="140"/>
      <c r="J18" s="13"/>
      <c r="K18" s="13"/>
      <c r="L18" s="173">
        <f t="shared" si="0"/>
        <v>0</v>
      </c>
    </row>
    <row r="19" spans="1:12" x14ac:dyDescent="0.25">
      <c r="A19" s="114"/>
      <c r="B19" s="126" t="s">
        <v>106</v>
      </c>
      <c r="C19" s="29"/>
      <c r="D19" s="13" t="s">
        <v>110</v>
      </c>
      <c r="E19" s="139">
        <f>(F19/1000*'Factors and Sources'!$C$6/1000)+(G19/10*'Factors and Sources'!$C$7/1000)+(H19*'Factors and Sources'!$C$10/1000)+(I19*'Factors and Sources'!$C$13/1000)+(J19*'Factors and Sources'!$F$20/1000)+(K19*'Factors and Sources'!$F$21/1000)</f>
        <v>0</v>
      </c>
      <c r="F19" s="137"/>
      <c r="G19" s="61"/>
      <c r="H19" s="61"/>
      <c r="I19" s="140"/>
      <c r="J19" s="13"/>
      <c r="K19" s="13"/>
      <c r="L19" s="173">
        <f t="shared" si="0"/>
        <v>0</v>
      </c>
    </row>
    <row r="20" spans="1:12" x14ac:dyDescent="0.25">
      <c r="A20" s="114"/>
      <c r="B20" s="126" t="s">
        <v>111</v>
      </c>
      <c r="C20" s="29"/>
      <c r="D20" s="13" t="s">
        <v>112</v>
      </c>
      <c r="E20" s="139">
        <f>(F20/1000*'Factors and Sources'!$C$6/1000)+(G20/10*'Factors and Sources'!$C$7/1000)+(H20*'Factors and Sources'!$C$10/1000)+(I20*'Factors and Sources'!$C$13/1000)+(J20*'Factors and Sources'!$F$20/1000)+(K20*'Factors and Sources'!$F$21/1000)</f>
        <v>0</v>
      </c>
      <c r="F20" s="137"/>
      <c r="G20" s="61"/>
      <c r="H20" s="61"/>
      <c r="I20" s="140"/>
      <c r="J20" s="13"/>
      <c r="K20" s="13"/>
      <c r="L20" s="173">
        <f t="shared" si="0"/>
        <v>0</v>
      </c>
    </row>
    <row r="21" spans="1:12" x14ac:dyDescent="0.25">
      <c r="A21" s="114"/>
      <c r="B21" s="126" t="s">
        <v>111</v>
      </c>
      <c r="C21" s="29"/>
      <c r="D21" s="13" t="s">
        <v>113</v>
      </c>
      <c r="E21" s="139">
        <f>(F21/1000*'Factors and Sources'!$C$6/1000)+(G21/10*'Factors and Sources'!$C$7/1000)+(H21*'Factors and Sources'!$C$10/1000)+(I21*'Factors and Sources'!$C$13/1000)+(J21*'Factors and Sources'!$F$20/1000)+(K21*'Factors and Sources'!$F$21/1000)</f>
        <v>0</v>
      </c>
      <c r="F21" s="137"/>
      <c r="G21" s="61"/>
      <c r="H21" s="61"/>
      <c r="I21" s="140"/>
      <c r="J21" s="13"/>
      <c r="K21" s="13"/>
      <c r="L21" s="173">
        <f t="shared" si="0"/>
        <v>0</v>
      </c>
    </row>
    <row r="22" spans="1:12" s="312" customFormat="1" ht="30" x14ac:dyDescent="0.25">
      <c r="B22" s="252" t="s">
        <v>111</v>
      </c>
      <c r="C22" s="253"/>
      <c r="D22" s="254" t="s">
        <v>265</v>
      </c>
      <c r="E22" s="255">
        <f>(F22/1000*'Factors and Sources'!$C$6/1000)+(G22/10*'Factors and Sources'!$C$7/1000)+(H22*'Factors and Sources'!$C$10/1000)+(I22*'Factors and Sources'!$C$13/1000)+(J22*'Factors and Sources'!$F$20/1000)+(K22*'Factors and Sources'!$F$21/1000)</f>
        <v>3.4948863299999999</v>
      </c>
      <c r="F22" s="256">
        <v>26035</v>
      </c>
      <c r="G22" s="257"/>
      <c r="H22" s="257"/>
      <c r="I22" s="258"/>
      <c r="J22" s="259"/>
      <c r="K22" s="259"/>
      <c r="L22" s="260">
        <f t="shared" si="0"/>
        <v>2.0012766228393469E-2</v>
      </c>
    </row>
    <row r="23" spans="1:12" x14ac:dyDescent="0.25">
      <c r="A23" s="114"/>
      <c r="B23" s="126" t="s">
        <v>111</v>
      </c>
      <c r="C23" s="29"/>
      <c r="D23" s="13" t="s">
        <v>114</v>
      </c>
      <c r="E23" s="139">
        <f>(F23/1000*'Factors and Sources'!$C$6/1000)+(G23/10*'Factors and Sources'!$C$7/1000)+(H23*'Factors and Sources'!$C$10/1000)+(I23*'Factors and Sources'!$C$13/1000)+(J23*'Factors and Sources'!$F$20/1000)+(K23*'Factors and Sources'!$F$21/1000)</f>
        <v>0</v>
      </c>
      <c r="F23" s="137"/>
      <c r="G23" s="61"/>
      <c r="H23" s="61"/>
      <c r="I23" s="140"/>
      <c r="J23" s="13"/>
      <c r="K23" s="13"/>
      <c r="L23" s="173">
        <f t="shared" si="0"/>
        <v>0</v>
      </c>
    </row>
    <row r="24" spans="1:12" x14ac:dyDescent="0.25">
      <c r="A24" s="114"/>
      <c r="B24" s="126" t="s">
        <v>111</v>
      </c>
      <c r="C24" s="29"/>
      <c r="D24" s="13" t="s">
        <v>115</v>
      </c>
      <c r="E24" s="139">
        <f>(F24/1000*'Factors and Sources'!$C$6/1000)+(G24/10*'Factors and Sources'!$C$7/1000)+(H24*'Factors and Sources'!$C$10/1000)+(I24*'Factors and Sources'!$C$13/1000)+(J24*'Factors and Sources'!$F$20/1000)+(K24*'Factors and Sources'!$F$21/1000)</f>
        <v>0</v>
      </c>
      <c r="F24" s="137"/>
      <c r="G24" s="61"/>
      <c r="H24" s="61"/>
      <c r="I24" s="140"/>
      <c r="J24" s="13"/>
      <c r="K24" s="13"/>
      <c r="L24" s="173">
        <f t="shared" si="0"/>
        <v>0</v>
      </c>
    </row>
    <row r="25" spans="1:12" x14ac:dyDescent="0.25">
      <c r="A25" s="114"/>
      <c r="B25" s="126" t="s">
        <v>116</v>
      </c>
      <c r="C25" s="29"/>
      <c r="D25" s="13" t="s">
        <v>117</v>
      </c>
      <c r="E25" s="139">
        <f>(F25/1000*'Factors and Sources'!$C$6/1000)+(G25/10*'Factors and Sources'!$C$7/1000)+(H25*'Factors and Sources'!$C$10/1000)+(I25*'Factors and Sources'!$C$13/1000)+(J25*'Factors and Sources'!$F$20/1000)+(K25*'Factors and Sources'!$F$21/1000)</f>
        <v>0</v>
      </c>
      <c r="F25" s="137"/>
      <c r="G25" s="61"/>
      <c r="H25" s="61"/>
      <c r="I25" s="140"/>
      <c r="J25" s="13"/>
      <c r="K25" s="13"/>
      <c r="L25" s="173">
        <f t="shared" si="0"/>
        <v>0</v>
      </c>
    </row>
    <row r="26" spans="1:12" x14ac:dyDescent="0.25">
      <c r="A26" s="114"/>
      <c r="B26" s="126" t="s">
        <v>116</v>
      </c>
      <c r="C26" s="29"/>
      <c r="D26" s="13" t="s">
        <v>118</v>
      </c>
      <c r="E26" s="139">
        <f>(F26/1000*'Factors and Sources'!$C$6/1000)+(G26/10*'Factors and Sources'!$C$7/1000)+(H26*'Factors and Sources'!$C$10/1000)+(I26*'Factors and Sources'!$C$13/1000)+(J26*'Factors and Sources'!$F$20/1000)+(K26*'Factors and Sources'!$F$21/1000)</f>
        <v>0</v>
      </c>
      <c r="F26" s="137"/>
      <c r="G26" s="61"/>
      <c r="H26" s="61"/>
      <c r="I26" s="140"/>
      <c r="J26" s="13"/>
      <c r="K26" s="13"/>
      <c r="L26" s="173">
        <f t="shared" si="0"/>
        <v>0</v>
      </c>
    </row>
    <row r="27" spans="1:12" x14ac:dyDescent="0.25">
      <c r="A27" s="114"/>
      <c r="B27" s="126" t="s">
        <v>116</v>
      </c>
      <c r="C27" s="29"/>
      <c r="D27" s="13" t="s">
        <v>119</v>
      </c>
      <c r="E27" s="139">
        <f>(F27/1000*'Factors and Sources'!$C$6/1000)+(G27/10*'Factors and Sources'!$C$7/1000)+(H27*'Factors and Sources'!$C$10/1000)+(I27*'Factors and Sources'!$C$13/1000)+(J27*'Factors and Sources'!$F$20/1000)+(K27*'Factors and Sources'!$F$21/1000)</f>
        <v>0</v>
      </c>
      <c r="F27" s="137"/>
      <c r="G27" s="61"/>
      <c r="H27" s="61"/>
      <c r="I27" s="140"/>
      <c r="J27" s="13"/>
      <c r="K27" s="13"/>
      <c r="L27" s="173">
        <f t="shared" si="0"/>
        <v>0</v>
      </c>
    </row>
    <row r="28" spans="1:12" x14ac:dyDescent="0.25">
      <c r="A28" s="114"/>
      <c r="B28" s="126" t="s">
        <v>120</v>
      </c>
      <c r="C28" s="29"/>
      <c r="D28" s="13" t="s">
        <v>121</v>
      </c>
      <c r="E28" s="139">
        <f>(F28/1000*'Factors and Sources'!$C$6/1000)+(G28/10*'Factors and Sources'!$C$7/1000)+(H28*'Factors and Sources'!$C$10/1000)+(I28*'Factors and Sources'!$C$13/1000)+(J28*'Factors and Sources'!$F$20/1000)+(K28*'Factors and Sources'!$F$21/1000)</f>
        <v>0</v>
      </c>
      <c r="F28" s="137"/>
      <c r="G28" s="61"/>
      <c r="H28" s="61"/>
      <c r="I28" s="140"/>
      <c r="J28" s="13"/>
      <c r="K28" s="13"/>
      <c r="L28" s="173">
        <f t="shared" si="0"/>
        <v>0</v>
      </c>
    </row>
    <row r="29" spans="1:12" x14ac:dyDescent="0.25">
      <c r="A29" s="114"/>
      <c r="B29" s="126" t="s">
        <v>120</v>
      </c>
      <c r="C29" s="29"/>
      <c r="D29" s="13" t="s">
        <v>122</v>
      </c>
      <c r="E29" s="139">
        <f>(F29/1000*'Factors and Sources'!$C$6/1000)+(G29/10*'Factors and Sources'!$C$7/1000)+(H29*'Factors and Sources'!$C$10/1000)+(I29*'Factors and Sources'!$C$13/1000)+(J29*'Factors and Sources'!$F$20/1000)+(K29*'Factors and Sources'!$F$21/1000)</f>
        <v>0</v>
      </c>
      <c r="F29" s="137"/>
      <c r="G29" s="61"/>
      <c r="H29" s="61"/>
      <c r="I29" s="140"/>
      <c r="J29" s="13"/>
      <c r="K29" s="13"/>
      <c r="L29" s="173">
        <f t="shared" si="0"/>
        <v>0</v>
      </c>
    </row>
    <row r="30" spans="1:12" x14ac:dyDescent="0.25">
      <c r="A30" s="114"/>
      <c r="B30" s="126" t="s">
        <v>123</v>
      </c>
      <c r="C30" s="29"/>
      <c r="D30" s="13" t="s">
        <v>124</v>
      </c>
      <c r="E30" s="139">
        <f>(F30/1000*'Factors and Sources'!$C$6/1000)+(G30/10*'Factors and Sources'!$C$7/1000)+(H30*'Factors and Sources'!$C$10/1000)+(I30*'Factors and Sources'!$C$13/1000)+(J30*'Factors and Sources'!$F$20/1000)+(K30*'Factors and Sources'!$F$21/1000)</f>
        <v>0</v>
      </c>
      <c r="F30" s="137"/>
      <c r="G30" s="61"/>
      <c r="H30" s="61"/>
      <c r="I30" s="140"/>
      <c r="J30" s="13"/>
      <c r="K30" s="13"/>
      <c r="L30" s="173">
        <f t="shared" si="0"/>
        <v>0</v>
      </c>
    </row>
    <row r="31" spans="1:12" x14ac:dyDescent="0.25">
      <c r="A31" s="114"/>
      <c r="B31" s="126" t="s">
        <v>116</v>
      </c>
      <c r="C31" s="29"/>
      <c r="D31" s="13" t="s">
        <v>125</v>
      </c>
      <c r="E31" s="139">
        <f>(F31/1000*'Factors and Sources'!$C$6/1000)+(G31/10*'Factors and Sources'!$C$7/1000)+(H31*'Factors and Sources'!$C$10/1000)+(I31*'Factors and Sources'!$C$13/1000)+(J31*'Factors and Sources'!$F$20/1000)+(K31*'Factors and Sources'!$F$21/1000)</f>
        <v>0</v>
      </c>
      <c r="F31" s="137"/>
      <c r="G31" s="61"/>
      <c r="H31" s="61"/>
      <c r="I31" s="140"/>
      <c r="J31" s="13"/>
      <c r="K31" s="13"/>
      <c r="L31" s="173">
        <f t="shared" si="0"/>
        <v>0</v>
      </c>
    </row>
    <row r="32" spans="1:12" x14ac:dyDescent="0.25">
      <c r="A32" s="114"/>
      <c r="B32" s="126"/>
      <c r="C32" s="29"/>
      <c r="D32" s="13"/>
      <c r="E32" s="139">
        <f>(F32/1000*'Factors and Sources'!$C$6/1000)+(G32/10*'Factors and Sources'!$C$7/1000)+(H32*'Factors and Sources'!$C$10/1000)+(I32*'Factors and Sources'!$C$13/1000)+(J32*'Factors and Sources'!$F$20/1000)+(K32*'Factors and Sources'!$F$21/1000)</f>
        <v>0</v>
      </c>
      <c r="F32" s="137"/>
      <c r="G32" s="61"/>
      <c r="H32" s="61"/>
      <c r="I32" s="140"/>
      <c r="J32" s="13"/>
      <c r="K32" s="13"/>
      <c r="L32" s="173">
        <f t="shared" si="0"/>
        <v>0</v>
      </c>
    </row>
    <row r="33" spans="1:12" x14ac:dyDescent="0.25">
      <c r="A33" s="114"/>
      <c r="B33" s="126"/>
      <c r="C33" s="29"/>
      <c r="D33" s="13"/>
      <c r="E33" s="139">
        <f>(F33/1000*'Factors and Sources'!$C$6/1000)+(G33/10*'Factors and Sources'!$C$7/1000)+(H33*'Factors and Sources'!$C$10/1000)+(I33*'Factors and Sources'!$C$13/1000)+(J33*'Factors and Sources'!$F$20/1000)+(K33*'Factors and Sources'!$F$21/1000)</f>
        <v>0</v>
      </c>
      <c r="F33" s="137"/>
      <c r="G33" s="61"/>
      <c r="H33" s="61"/>
      <c r="I33" s="140"/>
      <c r="J33" s="13"/>
      <c r="K33" s="13"/>
      <c r="L33" s="173">
        <f t="shared" si="0"/>
        <v>0</v>
      </c>
    </row>
    <row r="34" spans="1:12" x14ac:dyDescent="0.25">
      <c r="A34" s="114"/>
      <c r="B34" s="126"/>
      <c r="C34" s="29"/>
      <c r="D34" s="13"/>
      <c r="E34" s="139">
        <f>(F34/1000*'Factors and Sources'!$C$6/1000)+(G34/10*'Factors and Sources'!$C$7/1000)+(H34*'Factors and Sources'!$C$10/1000)+(I34*'Factors and Sources'!$C$13/1000)+(J34*'Factors and Sources'!$F$20/1000)+(K34*'Factors and Sources'!$F$21/1000)</f>
        <v>0</v>
      </c>
      <c r="F34" s="137"/>
      <c r="G34" s="61"/>
      <c r="H34" s="61"/>
      <c r="I34" s="140"/>
      <c r="J34" s="13"/>
      <c r="K34" s="13"/>
      <c r="L34" s="173">
        <f t="shared" si="0"/>
        <v>0</v>
      </c>
    </row>
    <row r="35" spans="1:12" x14ac:dyDescent="0.25">
      <c r="A35" s="114"/>
      <c r="B35" s="126"/>
      <c r="C35" s="29"/>
      <c r="D35" s="13"/>
      <c r="E35" s="139">
        <f>(F35/1000*'Factors and Sources'!$C$6/1000)+(G35/10*'Factors and Sources'!$C$7/1000)+(H35*'Factors and Sources'!$C$10/1000)+(I35*'Factors and Sources'!$C$13/1000)+(J35*'Factors and Sources'!$F$20/1000)+(K35*'Factors and Sources'!$F$21/1000)</f>
        <v>0</v>
      </c>
      <c r="F35" s="137"/>
      <c r="G35" s="61"/>
      <c r="H35" s="61"/>
      <c r="I35" s="140"/>
      <c r="J35" s="13"/>
      <c r="K35" s="13"/>
      <c r="L35" s="173">
        <f t="shared" si="0"/>
        <v>0</v>
      </c>
    </row>
    <row r="36" spans="1:12" x14ac:dyDescent="0.25">
      <c r="A36" s="114"/>
      <c r="B36" s="126"/>
      <c r="C36" s="29"/>
      <c r="D36" s="13"/>
      <c r="E36" s="139">
        <f>(F36/1000*'Factors and Sources'!$C$6/1000)+(G36/10*'Factors and Sources'!$C$7/1000)+(H36*'Factors and Sources'!$C$10/1000)+(I36*'Factors and Sources'!$C$13/1000)+(J36*'Factors and Sources'!$F$20/1000)+(K36*'Factors and Sources'!$F$21/1000)</f>
        <v>0</v>
      </c>
      <c r="F36" s="137"/>
      <c r="G36" s="61"/>
      <c r="H36" s="61"/>
      <c r="I36" s="140"/>
      <c r="J36" s="13"/>
      <c r="K36" s="13"/>
      <c r="L36" s="173">
        <f t="shared" si="0"/>
        <v>0</v>
      </c>
    </row>
    <row r="37" spans="1:12" x14ac:dyDescent="0.25">
      <c r="A37" s="114"/>
      <c r="B37" s="126"/>
      <c r="C37" s="29"/>
      <c r="D37" s="13"/>
      <c r="E37" s="139">
        <f>(F37/1000*'Factors and Sources'!$C$6/1000)+(G37/10*'Factors and Sources'!$C$7/1000)+(H37*'Factors and Sources'!$C$10/1000)+(I37*'Factors and Sources'!$C$13/1000)+(J37*'Factors and Sources'!$F$20/1000)+(K37*'Factors and Sources'!$F$21/1000)</f>
        <v>0</v>
      </c>
      <c r="F37" s="137"/>
      <c r="G37" s="61"/>
      <c r="H37" s="61"/>
      <c r="I37" s="140"/>
      <c r="J37" s="13"/>
      <c r="K37" s="13"/>
      <c r="L37" s="173">
        <f t="shared" si="0"/>
        <v>0</v>
      </c>
    </row>
    <row r="38" spans="1:12" x14ac:dyDescent="0.25">
      <c r="A38" s="114"/>
      <c r="B38" s="126"/>
      <c r="C38" s="29"/>
      <c r="D38" s="13"/>
      <c r="E38" s="139">
        <f>(F38/1000*'Factors and Sources'!$C$6/1000)+(G38/10*'Factors and Sources'!$C$7/1000)+(H38*'Factors and Sources'!$C$10/1000)+(I38*'Factors and Sources'!$C$13/1000)+(J38*'Factors and Sources'!$F$20/1000)+(K38*'Factors and Sources'!$F$21/1000)</f>
        <v>0</v>
      </c>
      <c r="F38" s="137"/>
      <c r="G38" s="61"/>
      <c r="H38" s="61"/>
      <c r="I38" s="140"/>
      <c r="J38" s="13"/>
      <c r="K38" s="13"/>
      <c r="L38" s="173">
        <f t="shared" si="0"/>
        <v>0</v>
      </c>
    </row>
    <row r="39" spans="1:12" x14ac:dyDescent="0.25">
      <c r="A39" s="114"/>
      <c r="B39" s="126"/>
      <c r="C39" s="29"/>
      <c r="D39" s="13"/>
      <c r="E39" s="139">
        <f>(F39/1000*'Factors and Sources'!$C$6/1000)+(G39/10*'Factors and Sources'!$C$7/1000)+(H39*'Factors and Sources'!$C$10/1000)+(I39*'Factors and Sources'!$C$13/1000)+(J39*'Factors and Sources'!$F$20/1000)+(K39*'Factors and Sources'!$F$21/1000)</f>
        <v>0</v>
      </c>
      <c r="F39" s="137"/>
      <c r="G39" s="61"/>
      <c r="H39" s="61"/>
      <c r="I39" s="140"/>
      <c r="J39" s="13"/>
      <c r="K39" s="13"/>
      <c r="L39" s="173">
        <f t="shared" si="0"/>
        <v>0</v>
      </c>
    </row>
    <row r="40" spans="1:12" x14ac:dyDescent="0.25">
      <c r="A40" s="114"/>
      <c r="B40" s="126"/>
      <c r="C40" s="29"/>
      <c r="D40" s="13"/>
      <c r="E40" s="139">
        <f>(F40/1000*'Factors and Sources'!$C$6/1000)+(G40/10*'Factors and Sources'!$C$7/1000)+(H40*'Factors and Sources'!$C$10/1000)+(I40*'Factors and Sources'!$C$13/1000)+(J40*'Factors and Sources'!$F$20/1000)+(K40*'Factors and Sources'!$F$21/1000)</f>
        <v>0</v>
      </c>
      <c r="F40" s="137"/>
      <c r="G40" s="61"/>
      <c r="H40" s="61"/>
      <c r="I40" s="140"/>
      <c r="J40" s="13"/>
      <c r="K40" s="13"/>
      <c r="L40" s="173">
        <f t="shared" si="0"/>
        <v>0</v>
      </c>
    </row>
    <row r="41" spans="1:12" x14ac:dyDescent="0.25">
      <c r="A41" s="114"/>
      <c r="B41" s="126"/>
      <c r="C41" s="29"/>
      <c r="D41" s="13"/>
      <c r="E41" s="139">
        <f>(F41/1000*'Factors and Sources'!$C$6/1000)+(G41/10*'Factors and Sources'!$C$7/1000)+(H41*'Factors and Sources'!$C$10/1000)+(I41*'Factors and Sources'!$C$13/1000)+(J41*'Factors and Sources'!$F$20/1000)+(K41*'Factors and Sources'!$F$21/1000)</f>
        <v>0</v>
      </c>
      <c r="F41" s="137"/>
      <c r="G41" s="61"/>
      <c r="H41" s="61"/>
      <c r="I41" s="140"/>
      <c r="J41" s="13"/>
      <c r="K41" s="13"/>
      <c r="L41" s="173">
        <f t="shared" si="0"/>
        <v>0</v>
      </c>
    </row>
    <row r="42" spans="1:12" x14ac:dyDescent="0.25">
      <c r="A42" s="114"/>
      <c r="B42" s="126"/>
      <c r="C42" s="29"/>
      <c r="D42" s="13"/>
      <c r="E42" s="139">
        <f>(F42/1000*'Factors and Sources'!$C$6/1000)+(G42/10*'Factors and Sources'!$C$7/1000)+(H42*'Factors and Sources'!$C$10/1000)+(I42*'Factors and Sources'!$C$13/1000)+(J42*'Factors and Sources'!$F$20/1000)+(K42*'Factors and Sources'!$F$21/1000)</f>
        <v>0</v>
      </c>
      <c r="F42" s="137"/>
      <c r="G42" s="61"/>
      <c r="H42" s="61"/>
      <c r="I42" s="140"/>
      <c r="J42" s="13"/>
      <c r="K42" s="13"/>
      <c r="L42" s="173">
        <f t="shared" si="0"/>
        <v>0</v>
      </c>
    </row>
    <row r="43" spans="1:12" x14ac:dyDescent="0.25">
      <c r="A43" s="114"/>
      <c r="B43" s="126"/>
      <c r="C43" s="29"/>
      <c r="D43" s="13"/>
      <c r="E43" s="139">
        <f>(F43/1000*'Factors and Sources'!$C$6/1000)+(G43/10*'Factors and Sources'!$C$7/1000)+(H43*'Factors and Sources'!$C$10/1000)+(I43*'Factors and Sources'!$C$13/1000)+(J43*'Factors and Sources'!$F$20/1000)+(K43*'Factors and Sources'!$F$21/1000)</f>
        <v>0</v>
      </c>
      <c r="F43" s="137"/>
      <c r="G43" s="61"/>
      <c r="H43" s="61"/>
      <c r="I43" s="140"/>
      <c r="J43" s="13"/>
      <c r="K43" s="13"/>
      <c r="L43" s="173">
        <f t="shared" si="0"/>
        <v>0</v>
      </c>
    </row>
    <row r="44" spans="1:12" x14ac:dyDescent="0.25">
      <c r="A44" s="114"/>
      <c r="B44" s="126"/>
      <c r="C44" s="29"/>
      <c r="D44" s="13"/>
      <c r="E44" s="139">
        <f>(F44/1000*'Factors and Sources'!$C$6/1000)+(G44/10*'Factors and Sources'!$C$7/1000)+(H44*'Factors and Sources'!$C$10/1000)+(I44*'Factors and Sources'!$C$13/1000)+(J44*'Factors and Sources'!$F$20/1000)+(K44*'Factors and Sources'!$F$21/1000)</f>
        <v>0</v>
      </c>
      <c r="F44" s="137"/>
      <c r="G44" s="61"/>
      <c r="H44" s="61"/>
      <c r="I44" s="140"/>
      <c r="J44" s="13"/>
      <c r="K44" s="13"/>
      <c r="L44" s="173">
        <f t="shared" si="0"/>
        <v>0</v>
      </c>
    </row>
    <row r="45" spans="1:12" x14ac:dyDescent="0.25">
      <c r="A45" s="114"/>
      <c r="B45" s="126"/>
      <c r="C45" s="29"/>
      <c r="D45" s="13"/>
      <c r="E45" s="139">
        <f>(F45/1000*'Factors and Sources'!$C$6/1000)+(G45/10*'Factors and Sources'!$C$7/1000)+(H45*'Factors and Sources'!$C$10/1000)+(I45*'Factors and Sources'!$C$13/1000)+(J45*'Factors and Sources'!$F$20/1000)+(K45*'Factors and Sources'!$F$21/1000)</f>
        <v>0</v>
      </c>
      <c r="F45" s="137"/>
      <c r="G45" s="61"/>
      <c r="H45" s="61"/>
      <c r="I45" s="140"/>
      <c r="J45" s="13"/>
      <c r="K45" s="13"/>
      <c r="L45" s="173">
        <f t="shared" si="0"/>
        <v>0</v>
      </c>
    </row>
    <row r="46" spans="1:12" x14ac:dyDescent="0.25">
      <c r="A46" s="114"/>
      <c r="B46" s="126"/>
      <c r="C46" s="29"/>
      <c r="D46" s="13"/>
      <c r="E46" s="139">
        <f>(F46/1000*'Factors and Sources'!$C$6/1000)+(G46/10*'Factors and Sources'!$C$7/1000)+(H46*'Factors and Sources'!$C$10/1000)+(I46*'Factors and Sources'!$C$13/1000)+(J46*'Factors and Sources'!$F$20/1000)+(K46*'Factors and Sources'!$F$21/1000)</f>
        <v>0</v>
      </c>
      <c r="F46" s="137"/>
      <c r="G46" s="61"/>
      <c r="H46" s="61"/>
      <c r="I46" s="140"/>
      <c r="J46" s="13"/>
      <c r="K46" s="13"/>
      <c r="L46" s="173">
        <f t="shared" si="0"/>
        <v>0</v>
      </c>
    </row>
    <row r="47" spans="1:12" x14ac:dyDescent="0.25">
      <c r="A47" s="114"/>
      <c r="B47" s="126"/>
      <c r="C47" s="29"/>
      <c r="D47" s="13"/>
      <c r="E47" s="139">
        <f>(F47/1000*'Factors and Sources'!$C$6/1000)+(G47/10*'Factors and Sources'!$C$7/1000)+(H47*'Factors and Sources'!$C$10/1000)+(I47*'Factors and Sources'!$C$13/1000)+(J47*'Factors and Sources'!$F$20/1000)+(K47*'Factors and Sources'!$F$21/1000)</f>
        <v>0</v>
      </c>
      <c r="F47" s="137"/>
      <c r="G47" s="61"/>
      <c r="H47" s="61"/>
      <c r="I47" s="140"/>
      <c r="J47" s="13"/>
      <c r="K47" s="13"/>
      <c r="L47" s="173">
        <f t="shared" si="0"/>
        <v>0</v>
      </c>
    </row>
    <row r="48" spans="1:12" x14ac:dyDescent="0.25">
      <c r="A48" s="114"/>
      <c r="B48" s="126"/>
      <c r="C48" s="29"/>
      <c r="D48" s="13"/>
      <c r="E48" s="139">
        <f>(F48/1000*'Factors and Sources'!$C$6/1000)+(G48/10*'Factors and Sources'!$C$7/1000)+(H48*'Factors and Sources'!$C$10/1000)+(I48*'Factors and Sources'!$C$13/1000)+(J48*'Factors and Sources'!$F$20/1000)+(K48*'Factors and Sources'!$F$21/1000)</f>
        <v>0</v>
      </c>
      <c r="F48" s="137"/>
      <c r="G48" s="61"/>
      <c r="H48" s="61"/>
      <c r="I48" s="140"/>
      <c r="J48" s="13"/>
      <c r="K48" s="13"/>
      <c r="L48" s="173">
        <f t="shared" si="0"/>
        <v>0</v>
      </c>
    </row>
    <row r="49" spans="1:12" x14ac:dyDescent="0.25">
      <c r="A49" s="114"/>
      <c r="B49" s="126"/>
      <c r="C49" s="29"/>
      <c r="D49" s="13"/>
      <c r="E49" s="139">
        <f>(F49/1000*'Factors and Sources'!$C$6/1000)+(G49/10*'Factors and Sources'!$C$7/1000)+(H49*'Factors and Sources'!$C$10/1000)+(I49*'Factors and Sources'!$C$13/1000)+(J49*'Factors and Sources'!$F$20/1000)+(K49*'Factors and Sources'!$F$21/1000)</f>
        <v>0</v>
      </c>
      <c r="F49" s="137"/>
      <c r="G49" s="61"/>
      <c r="H49" s="61"/>
      <c r="I49" s="140"/>
      <c r="J49" s="13"/>
      <c r="K49" s="13"/>
      <c r="L49" s="173">
        <f t="shared" si="0"/>
        <v>0</v>
      </c>
    </row>
    <row r="50" spans="1:12" x14ac:dyDescent="0.25">
      <c r="A50" s="114"/>
      <c r="B50" s="126"/>
      <c r="C50" s="29"/>
      <c r="D50" s="13"/>
      <c r="E50" s="139">
        <f>(F50/1000*'Factors and Sources'!$C$6/1000)+(G50/10*'Factors and Sources'!$C$7/1000)+(H50*'Factors and Sources'!$C$10/1000)+(I50*'Factors and Sources'!$C$13/1000)+(J50*'Factors and Sources'!$F$20/1000)+(K50*'Factors and Sources'!$F$21/1000)</f>
        <v>0</v>
      </c>
      <c r="F50" s="137"/>
      <c r="G50" s="61"/>
      <c r="H50" s="61"/>
      <c r="I50" s="140"/>
      <c r="J50" s="13"/>
      <c r="K50" s="13"/>
      <c r="L50" s="173">
        <f t="shared" si="0"/>
        <v>0</v>
      </c>
    </row>
    <row r="51" spans="1:12" x14ac:dyDescent="0.25">
      <c r="A51" s="114"/>
      <c r="B51" s="126"/>
      <c r="C51" s="29"/>
      <c r="D51" s="13"/>
      <c r="E51" s="139">
        <f>(F51/1000*'Factors and Sources'!$C$6/1000)+(G51/10*'Factors and Sources'!$C$7/1000)+(H51*'Factors and Sources'!$C$10/1000)+(I51*'Factors and Sources'!$C$13/1000)+(J51*'Factors and Sources'!$F$20/1000)+(K51*'Factors and Sources'!$F$21/1000)</f>
        <v>0</v>
      </c>
      <c r="F51" s="137"/>
      <c r="G51" s="61"/>
      <c r="H51" s="61"/>
      <c r="I51" s="140"/>
      <c r="J51" s="13"/>
      <c r="K51" s="13"/>
      <c r="L51" s="173">
        <f t="shared" si="0"/>
        <v>0</v>
      </c>
    </row>
    <row r="52" spans="1:12" x14ac:dyDescent="0.25">
      <c r="A52" s="114"/>
      <c r="B52" s="126"/>
      <c r="C52" s="29"/>
      <c r="D52" s="13"/>
      <c r="E52" s="139">
        <f>(F52/1000*'Factors and Sources'!$C$6/1000)+(G52/10*'Factors and Sources'!$C$7/1000)+(H52*'Factors and Sources'!$C$10/1000)+(I52*'Factors and Sources'!$C$13/1000)+(J52*'Factors and Sources'!$F$20/1000)+(K52*'Factors and Sources'!$F$21/1000)</f>
        <v>0</v>
      </c>
      <c r="F52" s="137"/>
      <c r="G52" s="61"/>
      <c r="H52" s="61"/>
      <c r="I52" s="140"/>
      <c r="J52" s="13"/>
      <c r="K52" s="13"/>
      <c r="L52" s="173">
        <f t="shared" si="0"/>
        <v>0</v>
      </c>
    </row>
    <row r="53" spans="1:12" x14ac:dyDescent="0.25">
      <c r="A53" s="114"/>
      <c r="B53" s="126"/>
      <c r="C53" s="29"/>
      <c r="D53" s="13"/>
      <c r="E53" s="139">
        <f>(F53/1000*'Factors and Sources'!$C$6/1000)+(G53/10*'Factors and Sources'!$C$7/1000)+(H53*'Factors and Sources'!$C$10/1000)+(I53*'Factors and Sources'!$C$13/1000)+(J53*'Factors and Sources'!$F$20/1000)+(K53*'Factors and Sources'!$F$21/1000)</f>
        <v>0</v>
      </c>
      <c r="F53" s="137"/>
      <c r="G53" s="61"/>
      <c r="H53" s="61"/>
      <c r="I53" s="140"/>
      <c r="J53" s="13"/>
      <c r="K53" s="13"/>
      <c r="L53" s="173">
        <f t="shared" si="0"/>
        <v>0</v>
      </c>
    </row>
    <row r="54" spans="1:12" x14ac:dyDescent="0.25">
      <c r="A54" s="114"/>
      <c r="B54" s="126"/>
      <c r="C54" s="29"/>
      <c r="D54" s="13"/>
      <c r="E54" s="139">
        <f>(F54/1000*'Factors and Sources'!$C$6/1000)+(G54/10*'Factors and Sources'!$C$7/1000)+(H54*'Factors and Sources'!$C$10/1000)+(I54*'Factors and Sources'!$C$13/1000)+(J54*'Factors and Sources'!$F$20/1000)+(K54*'Factors and Sources'!$F$21/1000)</f>
        <v>0</v>
      </c>
      <c r="F54" s="137"/>
      <c r="G54" s="61"/>
      <c r="H54" s="61"/>
      <c r="I54" s="140"/>
      <c r="J54" s="13"/>
      <c r="K54" s="13"/>
      <c r="L54" s="173">
        <f t="shared" si="0"/>
        <v>0</v>
      </c>
    </row>
    <row r="55" spans="1:12" x14ac:dyDescent="0.25">
      <c r="A55" s="114"/>
      <c r="B55" s="126"/>
      <c r="C55" s="29"/>
      <c r="D55" s="13"/>
      <c r="E55" s="139">
        <f>(F55/1000*'Factors and Sources'!$C$6/1000)+(G55/10*'Factors and Sources'!$C$7/1000)+(H55*'Factors and Sources'!$C$10/1000)+(I55*'Factors and Sources'!$C$13/1000)+(J55*'Factors and Sources'!$F$20/1000)+(K55*'Factors and Sources'!$F$21/1000)</f>
        <v>0</v>
      </c>
      <c r="F55" s="137"/>
      <c r="G55" s="61"/>
      <c r="H55" s="61"/>
      <c r="I55" s="140"/>
      <c r="J55" s="13"/>
      <c r="K55" s="13"/>
      <c r="L55" s="173">
        <f t="shared" si="0"/>
        <v>0</v>
      </c>
    </row>
    <row r="56" spans="1:12" x14ac:dyDescent="0.25">
      <c r="A56" s="114"/>
      <c r="B56" s="126"/>
      <c r="C56" s="29"/>
      <c r="D56" s="13"/>
      <c r="E56" s="139">
        <f>(F56/1000*'Factors and Sources'!$C$6/1000)+(G56/10*'Factors and Sources'!$C$7/1000)+(H56*'Factors and Sources'!$C$10/1000)+(I56*'Factors and Sources'!$C$13/1000)+(J56*'Factors and Sources'!$F$20/1000)+(K56*'Factors and Sources'!$F$21/1000)</f>
        <v>0</v>
      </c>
      <c r="F56" s="137"/>
      <c r="G56" s="61"/>
      <c r="H56" s="61"/>
      <c r="I56" s="140"/>
      <c r="J56" s="13"/>
      <c r="K56" s="13"/>
      <c r="L56" s="173">
        <f t="shared" si="0"/>
        <v>0</v>
      </c>
    </row>
    <row r="57" spans="1:12" x14ac:dyDescent="0.25">
      <c r="A57" s="114"/>
      <c r="B57" s="126"/>
      <c r="C57" s="29"/>
      <c r="D57" s="13"/>
      <c r="E57" s="139">
        <f>(F57/1000*'Factors and Sources'!$C$6/1000)+(G57/10*'Factors and Sources'!$C$7/1000)+(H57*'Factors and Sources'!$C$10/1000)+(I57*'Factors and Sources'!$C$13/1000)+(J57*'Factors and Sources'!$F$20/1000)+(K57*'Factors and Sources'!$F$21/1000)</f>
        <v>0</v>
      </c>
      <c r="F57" s="137"/>
      <c r="G57" s="61"/>
      <c r="H57" s="61"/>
      <c r="I57" s="140"/>
      <c r="J57" s="13"/>
      <c r="K57" s="13"/>
      <c r="L57" s="173">
        <f t="shared" si="0"/>
        <v>0</v>
      </c>
    </row>
    <row r="58" spans="1:12" x14ac:dyDescent="0.25">
      <c r="A58" s="114"/>
      <c r="B58" s="126"/>
      <c r="C58" s="29"/>
      <c r="D58" s="13"/>
      <c r="E58" s="139">
        <f>(F58/1000*'Factors and Sources'!$C$6/1000)+(G58/10*'Factors and Sources'!$C$7/1000)+(H58*'Factors and Sources'!$C$10/1000)+(I58*'Factors and Sources'!$C$13/1000)+(J58*'Factors and Sources'!$F$20/1000)+(K58*'Factors and Sources'!$F$21/1000)</f>
        <v>0</v>
      </c>
      <c r="F58" s="137"/>
      <c r="G58" s="61"/>
      <c r="H58" s="61"/>
      <c r="I58" s="140"/>
      <c r="J58" s="13"/>
      <c r="K58" s="13"/>
      <c r="L58" s="173">
        <f t="shared" si="0"/>
        <v>0</v>
      </c>
    </row>
    <row r="59" spans="1:12" x14ac:dyDescent="0.25">
      <c r="A59" s="114"/>
      <c r="B59" s="126"/>
      <c r="C59" s="29"/>
      <c r="D59" s="13"/>
      <c r="E59" s="139">
        <f>(F59/1000*'Factors and Sources'!$C$6/1000)+(G59/10*'Factors and Sources'!$C$7/1000)+(H59*'Factors and Sources'!$C$10/1000)+(I59*'Factors and Sources'!$C$13/1000)+(J59*'Factors and Sources'!$F$20/1000)+(K59*'Factors and Sources'!$F$21/1000)</f>
        <v>0</v>
      </c>
      <c r="F59" s="137"/>
      <c r="G59" s="61"/>
      <c r="H59" s="61"/>
      <c r="I59" s="140"/>
      <c r="J59" s="13"/>
      <c r="K59" s="13"/>
      <c r="L59" s="173">
        <f t="shared" si="0"/>
        <v>0</v>
      </c>
    </row>
    <row r="60" spans="1:12" x14ac:dyDescent="0.25">
      <c r="A60" s="114"/>
      <c r="B60" s="126"/>
      <c r="C60" s="29"/>
      <c r="D60" s="13"/>
      <c r="E60" s="139">
        <f>(F60/1000*'Factors and Sources'!$C$6/1000)+(G60/10*'Factors and Sources'!$C$7/1000)+(H60*'Factors and Sources'!$C$10/1000)+(I60*'Factors and Sources'!$C$13/1000)+(J60*'Factors and Sources'!$F$20/1000)+(K60*'Factors and Sources'!$F$21/1000)</f>
        <v>0</v>
      </c>
      <c r="F60" s="137"/>
      <c r="G60" s="61"/>
      <c r="H60" s="61"/>
      <c r="I60" s="140"/>
      <c r="J60" s="13"/>
      <c r="K60" s="13"/>
      <c r="L60" s="173">
        <f t="shared" si="0"/>
        <v>0</v>
      </c>
    </row>
    <row r="61" spans="1:12" x14ac:dyDescent="0.25">
      <c r="A61" s="114"/>
      <c r="B61" s="126"/>
      <c r="C61" s="29"/>
      <c r="D61" s="13"/>
      <c r="E61" s="139">
        <f>(F61/1000*'Factors and Sources'!$C$6/1000)+(G61/10*'Factors and Sources'!$C$7/1000)+(H61*'Factors and Sources'!$C$10/1000)+(I61*'Factors and Sources'!$C$13/1000)+(J61*'Factors and Sources'!$F$20/1000)+(K61*'Factors and Sources'!$F$21/1000)</f>
        <v>0</v>
      </c>
      <c r="F61" s="137"/>
      <c r="G61" s="61"/>
      <c r="H61" s="61"/>
      <c r="I61" s="140"/>
      <c r="J61" s="13"/>
      <c r="K61" s="13"/>
      <c r="L61" s="173">
        <f t="shared" si="0"/>
        <v>0</v>
      </c>
    </row>
    <row r="62" spans="1:12" x14ac:dyDescent="0.25">
      <c r="A62" s="114"/>
      <c r="B62" s="126"/>
      <c r="C62" s="29"/>
      <c r="D62" s="13"/>
      <c r="E62" s="139">
        <f>(F62/1000*'Factors and Sources'!$C$6/1000)+(G62/10*'Factors and Sources'!$C$7/1000)+(H62*'Factors and Sources'!$C$10/1000)+(I62*'Factors and Sources'!$C$13/1000)+(J62*'Factors and Sources'!$F$20/1000)+(K62*'Factors and Sources'!$F$21/1000)</f>
        <v>0</v>
      </c>
      <c r="F62" s="137"/>
      <c r="G62" s="61"/>
      <c r="H62" s="61"/>
      <c r="I62" s="140"/>
      <c r="J62" s="13"/>
      <c r="K62" s="13"/>
      <c r="L62" s="173">
        <f t="shared" si="0"/>
        <v>0</v>
      </c>
    </row>
    <row r="63" spans="1:12" x14ac:dyDescent="0.25">
      <c r="A63" s="114"/>
      <c r="B63" s="126"/>
      <c r="C63" s="29"/>
      <c r="D63" s="13"/>
      <c r="E63" s="139">
        <f>(F63/1000*'Factors and Sources'!$C$6/1000)+(G63/10*'Factors and Sources'!$C$7/1000)+(H63*'Factors and Sources'!$C$10/1000)+(I63*'Factors and Sources'!$C$13/1000)+(J63*'Factors and Sources'!$F$20/1000)+(K63*'Factors and Sources'!$F$21/1000)</f>
        <v>0</v>
      </c>
      <c r="F63" s="137"/>
      <c r="G63" s="61"/>
      <c r="H63" s="61"/>
      <c r="I63" s="140"/>
      <c r="J63" s="13"/>
      <c r="K63" s="13"/>
      <c r="L63" s="173">
        <f t="shared" si="0"/>
        <v>0</v>
      </c>
    </row>
    <row r="64" spans="1:12" x14ac:dyDescent="0.25">
      <c r="A64" s="114"/>
      <c r="B64" s="126"/>
      <c r="C64" s="29"/>
      <c r="D64" s="13"/>
      <c r="E64" s="139">
        <f>(F64/1000*'Factors and Sources'!$C$6/1000)+(G64/10*'Factors and Sources'!$C$7/1000)+(H64*'Factors and Sources'!$C$10/1000)+(I64*'Factors and Sources'!$C$13/1000)+(J64*'Factors and Sources'!$F$20/1000)+(K64*'Factors and Sources'!$F$21/1000)</f>
        <v>0</v>
      </c>
      <c r="F64" s="137"/>
      <c r="G64" s="61"/>
      <c r="H64" s="61"/>
      <c r="I64" s="140"/>
      <c r="J64" s="13"/>
      <c r="K64" s="13"/>
      <c r="L64" s="173">
        <f t="shared" si="0"/>
        <v>0</v>
      </c>
    </row>
    <row r="65" spans="1:12" x14ac:dyDescent="0.25">
      <c r="A65" s="114"/>
      <c r="B65" s="126"/>
      <c r="C65" s="29"/>
      <c r="D65" s="13"/>
      <c r="E65" s="139">
        <f>(F65/1000*'Factors and Sources'!$C$6/1000)+(G65/10*'Factors and Sources'!$C$7/1000)+(H65*'Factors and Sources'!$C$10/1000)+(I65*'Factors and Sources'!$C$13/1000)+(J65*'Factors and Sources'!$F$20/1000)+(K65*'Factors and Sources'!$F$21/1000)</f>
        <v>0</v>
      </c>
      <c r="F65" s="137"/>
      <c r="G65" s="61"/>
      <c r="H65" s="61"/>
      <c r="I65" s="140"/>
      <c r="J65" s="13"/>
      <c r="K65" s="13"/>
      <c r="L65" s="173">
        <f t="shared" si="0"/>
        <v>0</v>
      </c>
    </row>
    <row r="66" spans="1:12" x14ac:dyDescent="0.25">
      <c r="A66" s="114"/>
      <c r="B66" s="126"/>
      <c r="C66" s="29"/>
      <c r="D66" s="13"/>
      <c r="E66" s="139">
        <f>(F66/1000*'Factors and Sources'!$C$6/1000)+(G66/10*'Factors and Sources'!$C$7/1000)+(H66*'Factors and Sources'!$C$10/1000)+(I66*'Factors and Sources'!$C$13/1000)+(J66*'Factors and Sources'!$F$20/1000)+(K66*'Factors and Sources'!$F$21/1000)</f>
        <v>0</v>
      </c>
      <c r="F66" s="137"/>
      <c r="G66" s="61"/>
      <c r="H66" s="61"/>
      <c r="I66" s="140"/>
      <c r="J66" s="13"/>
      <c r="K66" s="13"/>
      <c r="L66" s="173">
        <f t="shared" si="0"/>
        <v>0</v>
      </c>
    </row>
    <row r="67" spans="1:12" ht="15.75" thickBot="1" x14ac:dyDescent="0.3">
      <c r="A67" s="114"/>
      <c r="B67" s="127"/>
      <c r="C67" s="128"/>
      <c r="D67" s="32"/>
      <c r="E67" s="139">
        <f>(F67/1000*'Factors and Sources'!$C$6/1000)+(G67/10*'Factors and Sources'!$C$7/1000)+(H67*'Factors and Sources'!$C$10/1000)+(I67*'Factors and Sources'!$C$13/1000)+(J67*'Factors and Sources'!$F$20/1000)+(K67*'Factors and Sources'!$F$21/1000)</f>
        <v>0</v>
      </c>
      <c r="F67" s="138"/>
      <c r="G67" s="136"/>
      <c r="H67" s="136"/>
      <c r="I67" s="141"/>
      <c r="J67" s="32"/>
      <c r="K67" s="32"/>
      <c r="L67" s="175">
        <f t="shared" si="0"/>
        <v>0</v>
      </c>
    </row>
    <row r="68" spans="1:12" x14ac:dyDescent="0.25">
      <c r="A68" s="114"/>
      <c r="B68" s="114"/>
      <c r="C68" s="114"/>
      <c r="D68" s="114"/>
      <c r="E68" s="146"/>
      <c r="F68" s="132"/>
      <c r="G68" s="132"/>
      <c r="H68" s="132"/>
      <c r="I68" s="132"/>
      <c r="J68" s="114"/>
      <c r="K68" s="146"/>
      <c r="L68" s="146"/>
    </row>
  </sheetData>
  <mergeCells count="1">
    <mergeCell ref="B14:C14"/>
  </mergeCells>
  <dataValidations count="2">
    <dataValidation allowBlank="1" showInputMessage="1" sqref="C15:C67 B15:B50" xr:uid="{55FFFF0C-6E07-4E07-ADEB-A068B0BF00FE}"/>
    <dataValidation type="list" allowBlank="1" showInputMessage="1" showErrorMessage="1" sqref="C5" xr:uid="{4A66E760-38CE-4644-8D40-6A3736518080}">
      <formula1>"5%,10%,15%,20%,25%,30%,35%,40%,45%,50%,55%,60%,65%,70%,75%,80%,85%,90%,95%,100%"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320B5-0B5C-439B-A8B9-242872678108}">
  <dimension ref="A5:BW173"/>
  <sheetViews>
    <sheetView topLeftCell="A2" zoomScale="70" zoomScaleNormal="70" workbookViewId="0">
      <selection activeCell="G56" sqref="G56"/>
    </sheetView>
  </sheetViews>
  <sheetFormatPr defaultRowHeight="15" x14ac:dyDescent="0.25"/>
  <cols>
    <col min="1" max="1" width="10.140625" customWidth="1"/>
    <col min="2" max="2" width="38.85546875" customWidth="1"/>
    <col min="3" max="3" width="28.7109375" customWidth="1"/>
    <col min="4" max="4" width="11.7109375" bestFit="1" customWidth="1"/>
    <col min="5" max="5" width="12.42578125" customWidth="1"/>
    <col min="6" max="6" width="14.140625" customWidth="1"/>
    <col min="7" max="7" width="11.140625" customWidth="1"/>
    <col min="8" max="8" width="11.7109375" customWidth="1"/>
    <col min="9" max="9" width="10.28515625" customWidth="1"/>
    <col min="10" max="10" width="10.42578125" customWidth="1"/>
    <col min="11" max="11" width="10.140625" bestFit="1" customWidth="1"/>
    <col min="12" max="12" width="12.140625" bestFit="1" customWidth="1"/>
    <col min="13" max="13" width="12.42578125" customWidth="1"/>
    <col min="14" max="24" width="10.140625" bestFit="1" customWidth="1"/>
    <col min="25" max="25" width="12.140625" bestFit="1" customWidth="1"/>
    <col min="26" max="27" width="12.42578125" bestFit="1" customWidth="1"/>
    <col min="28" max="28" width="11.140625" bestFit="1" customWidth="1"/>
    <col min="29" max="30" width="12.42578125" bestFit="1" customWidth="1"/>
    <col min="31" max="31" width="11.140625" bestFit="1" customWidth="1"/>
    <col min="32" max="32" width="10.28515625" bestFit="1" customWidth="1"/>
    <col min="33" max="34" width="13.42578125" bestFit="1" customWidth="1"/>
    <col min="35" max="35" width="12.42578125" bestFit="1" customWidth="1"/>
    <col min="36" max="37" width="13.28515625" bestFit="1" customWidth="1"/>
    <col min="38" max="40" width="11.5703125" bestFit="1" customWidth="1"/>
    <col min="41" max="44" width="12.140625" bestFit="1" customWidth="1"/>
    <col min="45" max="46" width="13.28515625" bestFit="1" customWidth="1"/>
    <col min="47" max="47" width="13.5703125" customWidth="1"/>
    <col min="48" max="48" width="13.140625" customWidth="1"/>
    <col min="49" max="49" width="13.28515625" customWidth="1"/>
    <col min="50" max="50" width="12" customWidth="1"/>
    <col min="51" max="51" width="13.85546875" customWidth="1"/>
    <col min="52" max="52" width="11.28515625" customWidth="1"/>
    <col min="53" max="53" width="12.140625" customWidth="1"/>
    <col min="54" max="54" width="12.5703125" customWidth="1"/>
    <col min="55" max="55" width="14.140625" customWidth="1"/>
    <col min="56" max="56" width="13.140625" customWidth="1"/>
    <col min="57" max="57" width="11" customWidth="1"/>
    <col min="59" max="59" width="10" customWidth="1"/>
    <col min="60" max="60" width="11.140625" bestFit="1" customWidth="1"/>
    <col min="62" max="62" width="11.28515625" customWidth="1"/>
    <col min="63" max="63" width="11" customWidth="1"/>
    <col min="65" max="65" width="11.140625" customWidth="1"/>
    <col min="66" max="66" width="12.5703125" customWidth="1"/>
    <col min="67" max="67" width="13.140625" customWidth="1"/>
    <col min="68" max="68" width="11.140625" customWidth="1"/>
    <col min="70" max="70" width="12.85546875" customWidth="1"/>
    <col min="71" max="71" width="11.85546875" customWidth="1"/>
    <col min="72" max="72" width="13.140625" customWidth="1"/>
    <col min="73" max="73" width="13.42578125" customWidth="1"/>
    <col min="74" max="74" width="13.5703125" customWidth="1"/>
    <col min="75" max="75" width="16.42578125" bestFit="1" customWidth="1"/>
  </cols>
  <sheetData>
    <row r="5" spans="1:75" s="36" customFormat="1" x14ac:dyDescent="0.25">
      <c r="A5" s="35" t="s">
        <v>49</v>
      </c>
      <c r="B5" s="36" t="s">
        <v>50</v>
      </c>
    </row>
    <row r="6" spans="1:75" ht="15.75" thickBot="1" x14ac:dyDescent="0.3"/>
    <row r="7" spans="1:75" ht="18.75" x14ac:dyDescent="0.3">
      <c r="D7" s="357" t="s">
        <v>51</v>
      </c>
      <c r="E7" s="358"/>
      <c r="F7" s="358"/>
      <c r="G7" s="358"/>
      <c r="H7" s="358"/>
      <c r="I7" s="358"/>
      <c r="J7" s="358"/>
      <c r="K7" s="358"/>
      <c r="L7" s="358"/>
      <c r="M7" s="358"/>
      <c r="N7" s="358"/>
      <c r="O7" s="358"/>
      <c r="P7" s="358"/>
      <c r="Q7" s="358"/>
      <c r="R7" s="358"/>
      <c r="S7" s="358"/>
      <c r="T7" s="358"/>
      <c r="U7" s="358"/>
      <c r="V7" s="358"/>
      <c r="W7" s="359"/>
      <c r="X7" s="357" t="s">
        <v>214</v>
      </c>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9"/>
      <c r="AX7" s="357" t="s">
        <v>52</v>
      </c>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9"/>
    </row>
    <row r="8" spans="1:75" x14ac:dyDescent="0.25">
      <c r="B8" s="37"/>
      <c r="C8" s="37"/>
      <c r="D8" s="352" t="s">
        <v>139</v>
      </c>
      <c r="E8" s="353"/>
      <c r="F8" s="353"/>
      <c r="G8" s="353"/>
      <c r="H8" s="354"/>
      <c r="I8" s="355" t="s">
        <v>140</v>
      </c>
      <c r="J8" s="353"/>
      <c r="K8" s="353"/>
      <c r="L8" s="353"/>
      <c r="M8" s="354"/>
      <c r="N8" s="355" t="s">
        <v>141</v>
      </c>
      <c r="O8" s="353"/>
      <c r="P8" s="353"/>
      <c r="Q8" s="353"/>
      <c r="R8" s="354"/>
      <c r="S8" s="355" t="s">
        <v>142</v>
      </c>
      <c r="T8" s="353"/>
      <c r="U8" s="353"/>
      <c r="V8" s="353"/>
      <c r="W8" s="356"/>
      <c r="X8" s="352" t="s">
        <v>5</v>
      </c>
      <c r="Y8" s="353"/>
      <c r="Z8" s="353"/>
      <c r="AA8" s="353"/>
      <c r="AB8" s="354"/>
      <c r="AC8" s="355" t="s">
        <v>53</v>
      </c>
      <c r="AD8" s="353"/>
      <c r="AE8" s="353"/>
      <c r="AF8" s="353"/>
      <c r="AG8" s="354"/>
      <c r="AH8" s="355" t="s">
        <v>11</v>
      </c>
      <c r="AI8" s="353"/>
      <c r="AJ8" s="353"/>
      <c r="AK8" s="353"/>
      <c r="AL8" s="354"/>
      <c r="AM8" s="355" t="s">
        <v>9</v>
      </c>
      <c r="AN8" s="353"/>
      <c r="AO8" s="353"/>
      <c r="AP8" s="353"/>
      <c r="AQ8" s="354"/>
      <c r="AR8" s="360" t="s">
        <v>54</v>
      </c>
      <c r="AS8" s="361"/>
      <c r="AT8" s="361"/>
      <c r="AU8" s="361"/>
      <c r="AV8" s="361"/>
      <c r="AW8" s="362"/>
      <c r="AX8" s="352" t="s">
        <v>5</v>
      </c>
      <c r="AY8" s="353"/>
      <c r="AZ8" s="353"/>
      <c r="BA8" s="353"/>
      <c r="BB8" s="354"/>
      <c r="BC8" s="355" t="s">
        <v>53</v>
      </c>
      <c r="BD8" s="353"/>
      <c r="BE8" s="353"/>
      <c r="BF8" s="353"/>
      <c r="BG8" s="354"/>
      <c r="BH8" s="355" t="s">
        <v>141</v>
      </c>
      <c r="BI8" s="353"/>
      <c r="BJ8" s="353"/>
      <c r="BK8" s="353"/>
      <c r="BL8" s="354"/>
      <c r="BM8" s="355" t="s">
        <v>142</v>
      </c>
      <c r="BN8" s="353"/>
      <c r="BO8" s="353"/>
      <c r="BP8" s="353"/>
      <c r="BQ8" s="354"/>
      <c r="BR8" s="360" t="s">
        <v>54</v>
      </c>
      <c r="BS8" s="361"/>
      <c r="BT8" s="361"/>
      <c r="BU8" s="361"/>
      <c r="BV8" s="361"/>
      <c r="BW8" s="362"/>
    </row>
    <row r="9" spans="1:75" x14ac:dyDescent="0.25">
      <c r="B9" s="38" t="s">
        <v>55</v>
      </c>
      <c r="C9" s="39" t="s">
        <v>56</v>
      </c>
      <c r="D9" s="163">
        <v>2015</v>
      </c>
      <c r="E9" s="163">
        <v>2016</v>
      </c>
      <c r="F9" s="163">
        <v>2017</v>
      </c>
      <c r="G9" s="163">
        <v>2018</v>
      </c>
      <c r="H9" s="163">
        <v>2019</v>
      </c>
      <c r="I9" s="163">
        <v>2015</v>
      </c>
      <c r="J9" s="163">
        <v>2016</v>
      </c>
      <c r="K9" s="163">
        <v>2017</v>
      </c>
      <c r="L9" s="163">
        <v>2018</v>
      </c>
      <c r="M9" s="163">
        <v>2019</v>
      </c>
      <c r="N9" s="163">
        <v>2015</v>
      </c>
      <c r="O9" s="163">
        <v>2016</v>
      </c>
      <c r="P9" s="163">
        <v>2017</v>
      </c>
      <c r="Q9" s="163">
        <v>2018</v>
      </c>
      <c r="R9" s="163">
        <v>2019</v>
      </c>
      <c r="S9" s="163">
        <v>2015</v>
      </c>
      <c r="T9" s="163">
        <v>2016</v>
      </c>
      <c r="U9" s="163">
        <v>2017</v>
      </c>
      <c r="V9" s="163">
        <v>2018</v>
      </c>
      <c r="W9" s="163">
        <v>2019</v>
      </c>
      <c r="X9" s="163">
        <v>2015</v>
      </c>
      <c r="Y9" s="163">
        <v>2016</v>
      </c>
      <c r="Z9" s="163">
        <v>2017</v>
      </c>
      <c r="AA9" s="163">
        <v>2018</v>
      </c>
      <c r="AB9" s="163">
        <v>2019</v>
      </c>
      <c r="AC9" s="163">
        <v>2015</v>
      </c>
      <c r="AD9" s="163">
        <v>2016</v>
      </c>
      <c r="AE9" s="163">
        <v>2017</v>
      </c>
      <c r="AF9" s="163">
        <v>2018</v>
      </c>
      <c r="AG9" s="163">
        <v>2019</v>
      </c>
      <c r="AH9" s="163">
        <v>2015</v>
      </c>
      <c r="AI9" s="163">
        <v>2016</v>
      </c>
      <c r="AJ9" s="163">
        <v>2017</v>
      </c>
      <c r="AK9" s="163">
        <v>2018</v>
      </c>
      <c r="AL9" s="163">
        <v>2019</v>
      </c>
      <c r="AM9" s="163">
        <v>2015</v>
      </c>
      <c r="AN9" s="163">
        <v>2016</v>
      </c>
      <c r="AO9" s="163">
        <v>2017</v>
      </c>
      <c r="AP9" s="163">
        <v>2018</v>
      </c>
      <c r="AQ9" s="163">
        <v>2019</v>
      </c>
      <c r="AR9" s="163">
        <v>2015</v>
      </c>
      <c r="AS9" s="163">
        <v>2016</v>
      </c>
      <c r="AT9" s="163">
        <v>2017</v>
      </c>
      <c r="AU9" s="163">
        <v>2018</v>
      </c>
      <c r="AV9" s="163">
        <v>2019</v>
      </c>
      <c r="AW9" s="95" t="s">
        <v>57</v>
      </c>
      <c r="AX9" s="163">
        <v>2015</v>
      </c>
      <c r="AY9" s="163">
        <v>2016</v>
      </c>
      <c r="AZ9" s="163">
        <v>2017</v>
      </c>
      <c r="BA9" s="163">
        <v>2018</v>
      </c>
      <c r="BB9" s="163">
        <v>2019</v>
      </c>
      <c r="BC9" s="163">
        <v>2015</v>
      </c>
      <c r="BD9" s="163">
        <v>2016</v>
      </c>
      <c r="BE9" s="163">
        <v>2017</v>
      </c>
      <c r="BF9" s="163">
        <v>2018</v>
      </c>
      <c r="BG9" s="163">
        <v>2019</v>
      </c>
      <c r="BH9" s="163">
        <v>2015</v>
      </c>
      <c r="BI9" s="163">
        <v>2016</v>
      </c>
      <c r="BJ9" s="163">
        <v>2017</v>
      </c>
      <c r="BK9" s="163">
        <v>2018</v>
      </c>
      <c r="BL9" s="163">
        <v>2019</v>
      </c>
      <c r="BM9" s="163">
        <v>2015</v>
      </c>
      <c r="BN9" s="163">
        <v>2016</v>
      </c>
      <c r="BO9" s="163">
        <v>2017</v>
      </c>
      <c r="BP9" s="163">
        <v>2018</v>
      </c>
      <c r="BQ9" s="163">
        <v>2019</v>
      </c>
      <c r="BR9" s="163">
        <v>2015</v>
      </c>
      <c r="BS9" s="163">
        <v>2016</v>
      </c>
      <c r="BT9" s="163">
        <v>2017</v>
      </c>
      <c r="BU9" s="163">
        <v>2018</v>
      </c>
      <c r="BV9" s="163">
        <v>2019</v>
      </c>
      <c r="BW9" s="95" t="s">
        <v>57</v>
      </c>
    </row>
    <row r="10" spans="1:75" x14ac:dyDescent="0.25">
      <c r="B10" s="15" t="s">
        <v>216</v>
      </c>
      <c r="C10" s="41" t="str">
        <f>VLOOKUP(B10,'Facility Master List'!$A$6:$D$60,3,FALSE)</f>
        <v>Administration Facilities</v>
      </c>
      <c r="D10" s="106">
        <f>SUMIFS('Central Hudson Data'!$I:$I,'Central Hudson Data'!$B:$B,$B10,'Central Hudson Data'!$O:$O,D$9,'Central Hudson Data'!$H:$H,"E")</f>
        <v>62147</v>
      </c>
      <c r="E10" s="47">
        <f>SUMIFS('Central Hudson Data'!$I:$I,'Central Hudson Data'!$B:$B,$B10,'Central Hudson Data'!$O:$O,E$9,'Central Hudson Data'!$H:$H,"E")</f>
        <v>50536</v>
      </c>
      <c r="F10" s="154">
        <f>SUMIFS('Central Hudson Data'!$I:$I,'Central Hudson Data'!$B:$B,$B10,'Central Hudson Data'!$O:$O,F$9,'Central Hudson Data'!$H:$H,"E")</f>
        <v>44487</v>
      </c>
      <c r="G10" s="154">
        <f>SUMIFS('Central Hudson Data'!$I:$I,'Central Hudson Data'!$B:$B,$B10,'Central Hudson Data'!$O:$O,G$9,'Central Hudson Data'!$H:$H,"E")</f>
        <v>47194</v>
      </c>
      <c r="H10" s="155">
        <f>SUMIFS('Central Hudson Data'!$I:$I,'Central Hudson Data'!$B:$B,$B10,'Central Hudson Data'!$O:$O,H$9,'Central Hudson Data'!$H:$H,"E")</f>
        <v>0</v>
      </c>
      <c r="I10" s="42">
        <f>SUMIFS('Central Hudson Data'!$I:$I,'Central Hudson Data'!$B:$B,$B10,'Central Hudson Data'!$O:$O,I$9,'Central Hudson Data'!$H:$H,"G")</f>
        <v>0</v>
      </c>
      <c r="J10" s="42">
        <f>SUMIFS('Central Hudson Data'!$I:$I,'Central Hudson Data'!$B:$B,$B10,'Central Hudson Data'!$O:$O,J$9,'Central Hudson Data'!$H:$H,"G")</f>
        <v>0</v>
      </c>
      <c r="K10" s="42">
        <f>SUMIFS('Central Hudson Data'!$I:$I,'Central Hudson Data'!$B:$B,$B10,'Central Hudson Data'!$O:$O,K$9,'Central Hudson Data'!$H:$H,"G")</f>
        <v>0</v>
      </c>
      <c r="L10" s="42">
        <f>SUMIFS('Central Hudson Data'!$I:$I,'Central Hudson Data'!$B:$B,$B10,'Central Hudson Data'!$O:$O,L$9,'Central Hudson Data'!$H:$H,"G")</f>
        <v>0</v>
      </c>
      <c r="M10" s="42">
        <f>SUMIFS('Central Hudson Data'!$I:$I,'Central Hudson Data'!$B:$B,$B10,'Central Hudson Data'!$O:$O,M$9,'Central Hudson Data'!$H:$H,"G")</f>
        <v>0</v>
      </c>
      <c r="N10" s="42">
        <f>SUMIFS('Tank.Other.Fuels'!$F:$F,'Tank.Other.Fuels'!$B:$B,$B10,'Tank.Other.Fuels'!$D:$D,$N$8,'Tank.Other.Fuels'!$E:$E,N$9)</f>
        <v>1976.5</v>
      </c>
      <c r="O10" s="42">
        <f>SUMIFS('Tank.Other.Fuels'!$F:$F,'Tank.Other.Fuels'!$B:$B,$B10,'Tank.Other.Fuels'!$D:$D,$N$8,'Tank.Other.Fuels'!$E:$E,O$9)</f>
        <v>768.7</v>
      </c>
      <c r="P10" s="42">
        <f>SUMIFS('Tank.Other.Fuels'!$F:$F,'Tank.Other.Fuels'!$B:$B,$B10,'Tank.Other.Fuels'!$D:$D,$N$8,'Tank.Other.Fuels'!$E:$E,P$9)</f>
        <v>1288.7</v>
      </c>
      <c r="Q10" s="42">
        <f>SUMIFS('Tank.Other.Fuels'!$F:$F,'Tank.Other.Fuels'!$B:$B,$B10,'Tank.Other.Fuels'!$D:$D,$N$8,'Tank.Other.Fuels'!$E:$E,Q$9)</f>
        <v>1335.9</v>
      </c>
      <c r="R10" s="42">
        <f>SUMIFS('Tank.Other.Fuels'!$F:$F,'Tank.Other.Fuels'!$B:$B,$B10,'Tank.Other.Fuels'!$D:$D,$N$8,'Tank.Other.Fuels'!$E:$E,R$9)</f>
        <v>0</v>
      </c>
      <c r="S10" s="42">
        <f>SUMIFS('Tank.Other.Fuels'!$F:$F,'Tank.Other.Fuels'!$B:$B,$B10,'Tank.Other.Fuels'!$D:$D,$S$8,'Tank.Other.Fuels'!$E:$E,S$9)</f>
        <v>0</v>
      </c>
      <c r="T10" s="42">
        <f>SUMIFS('Tank.Other.Fuels'!$F:$F,'Tank.Other.Fuels'!$B:$B,$B10,'Tank.Other.Fuels'!$D:$D,$S$8,'Tank.Other.Fuels'!$E:$E,T$9)</f>
        <v>0</v>
      </c>
      <c r="U10" s="42">
        <f>SUMIFS('Tank.Other.Fuels'!$F:$F,'Tank.Other.Fuels'!$B:$B,$B10,'Tank.Other.Fuels'!$D:$D,$S$8,'Tank.Other.Fuels'!$E:$E,U$9)</f>
        <v>0</v>
      </c>
      <c r="V10" s="42">
        <f>SUMIFS('Tank.Other.Fuels'!$F:$F,'Tank.Other.Fuels'!$B:$B,$B10,'Tank.Other.Fuels'!$D:$D,$S$8,'Tank.Other.Fuels'!$E:$E,V$9)</f>
        <v>0</v>
      </c>
      <c r="W10" s="42">
        <f>SUMIFS('Tank.Other.Fuels'!$F:$F,'Tank.Other.Fuels'!$B:$B,$B10,'Tank.Other.Fuels'!$D:$D,$S$8,'Tank.Other.Fuels'!$E:$E,W$9)</f>
        <v>0</v>
      </c>
      <c r="X10" s="156">
        <f>D10/1000*'Factors and Sources'!$C$6/1000</f>
        <v>8.3424889860000011</v>
      </c>
      <c r="Y10" s="157">
        <f>E10/1000*'Factors and Sources'!$C$6/1000</f>
        <v>6.7838515680000002</v>
      </c>
      <c r="Z10" s="157">
        <f>F10/1000*'Factors and Sources'!$C$6/1000</f>
        <v>5.9718459060000004</v>
      </c>
      <c r="AA10" s="157">
        <f>G10/1000*'Factors and Sources'!$C$6/1000</f>
        <v>6.3352281719999999</v>
      </c>
      <c r="AB10" s="157">
        <f>H10/1000*'Factors and Sources'!$C$6/1000</f>
        <v>0</v>
      </c>
      <c r="AC10" s="43">
        <f>I10/10*'Factors and Sources'!$C$7/1000</f>
        <v>0</v>
      </c>
      <c r="AD10" s="43">
        <f>J10/10*'Factors and Sources'!$C$7/1000</f>
        <v>0</v>
      </c>
      <c r="AE10" s="43">
        <f>K10/10*'Factors and Sources'!$C$7/1000</f>
        <v>0</v>
      </c>
      <c r="AF10" s="43">
        <f>L10/10*'Factors and Sources'!$C$7/1000</f>
        <v>0</v>
      </c>
      <c r="AG10" s="43">
        <f>M10/10*'Factors and Sources'!$C$7/1000</f>
        <v>0</v>
      </c>
      <c r="AH10" s="43">
        <f>N10*'Factors and Sources'!$C$8/1000</f>
        <v>11.602216912665222</v>
      </c>
      <c r="AI10" s="43">
        <f>O10*'Factors and Sources'!$C$8/1000</f>
        <v>4.5123319710426291</v>
      </c>
      <c r="AJ10" s="43">
        <f>P10*'Factors and Sources'!$C$8/1000</f>
        <v>7.5647745688599404</v>
      </c>
      <c r="AK10" s="43">
        <f>Q10*'Factors and Sources'!$C$8/1000</f>
        <v>7.8418424354310501</v>
      </c>
      <c r="AL10" s="43">
        <f>R10*'Factors and Sources'!$C$8/1000</f>
        <v>0</v>
      </c>
      <c r="AM10" s="43">
        <f>S10*'Factors and Sources'!$C$9/1000</f>
        <v>0</v>
      </c>
      <c r="AN10" s="43">
        <f>T10*'Factors and Sources'!$C$9/1000</f>
        <v>0</v>
      </c>
      <c r="AO10" s="43">
        <f>U10*'Factors and Sources'!$C$9/1000</f>
        <v>0</v>
      </c>
      <c r="AP10" s="43">
        <f>V10*'Factors and Sources'!$C$9/1000</f>
        <v>0</v>
      </c>
      <c r="AQ10" s="43">
        <f>W10*'Factors and Sources'!$C$9/1000</f>
        <v>0</v>
      </c>
      <c r="AR10" s="43">
        <f>X10+AC10+AH10+AM10</f>
        <v>19.944705898665223</v>
      </c>
      <c r="AS10" s="43">
        <f>Y10+AD10+AI10+AN10</f>
        <v>11.29618353904263</v>
      </c>
      <c r="AT10" s="43">
        <f>Z10+AE10+AJ10+AO10</f>
        <v>13.536620474859941</v>
      </c>
      <c r="AU10" s="43">
        <f>AA10+AF10+AK10+AP10</f>
        <v>14.17707060743105</v>
      </c>
      <c r="AV10" s="43">
        <f>AB10+AG10+AL10+AQ10</f>
        <v>0</v>
      </c>
      <c r="AW10" s="158">
        <f>IFERROR((AVERAGEIF(AR10:AV10,"&lt;&gt;0")),"")</f>
        <v>14.738645129999711</v>
      </c>
      <c r="AX10" s="96">
        <f>SUMIFS('Central Hudson Data'!$N:$N,'Central Hudson Data'!$B:$B,$B10,'Central Hudson Data'!$O:$O,AX$9,'Central Hudson Data'!$H:$H,"E")</f>
        <v>8955.9399999999987</v>
      </c>
      <c r="AY10" s="159">
        <f>SUMIFS('Central Hudson Data'!$N:$N,'Central Hudson Data'!$B:$B,$B10,'Central Hudson Data'!$O:$O,AY$9,'Central Hudson Data'!$H:$H,"E")</f>
        <v>6722.09</v>
      </c>
      <c r="AZ10" s="159">
        <f>SUMIFS('Central Hudson Data'!$N:$N,'Central Hudson Data'!$B:$B,$B10,'Central Hudson Data'!$O:$O,AZ$9,'Central Hudson Data'!$H:$H,"E")</f>
        <v>6182.4699999999984</v>
      </c>
      <c r="BA10" s="159">
        <f>SUMIFS('Central Hudson Data'!$N:$N,'Central Hudson Data'!$B:$B,$B10,'Central Hudson Data'!$O:$O,BA$9,'Central Hudson Data'!$H:$H,"E")</f>
        <v>6879.9</v>
      </c>
      <c r="BB10" s="159">
        <f>SUMIFS('Central Hudson Data'!$N:$N,'Central Hudson Data'!$B:$B,$B10,'Central Hudson Data'!$O:$O,BB$9,'Central Hudson Data'!$H:$H,"E")</f>
        <v>0</v>
      </c>
      <c r="BC10" s="44">
        <f>SUMIFS('Central Hudson Data'!$N:$N,'Central Hudson Data'!$B:$B,$B10,'Central Hudson Data'!$O:$O,BC$9,'Central Hudson Data'!$H:$H,"G")</f>
        <v>0</v>
      </c>
      <c r="BD10" s="44">
        <f>SUMIFS('Central Hudson Data'!$N:$N,'Central Hudson Data'!$B:$B,$B10,'Central Hudson Data'!$O:$O,BD$9,'Central Hudson Data'!$H:$H,"G")</f>
        <v>0</v>
      </c>
      <c r="BE10" s="44">
        <f>SUMIFS('Central Hudson Data'!$N:$N,'Central Hudson Data'!$B:$B,$B10,'Central Hudson Data'!$O:$O,BE$9,'Central Hudson Data'!$H:$H,"G")</f>
        <v>0</v>
      </c>
      <c r="BF10" s="44">
        <f>SUMIFS('Central Hudson Data'!$N:$N,'Central Hudson Data'!$B:$B,$B10,'Central Hudson Data'!$O:$O,BF$9,'Central Hudson Data'!$H:$H,"G")</f>
        <v>0</v>
      </c>
      <c r="BG10" s="44">
        <f>SUMIFS('Central Hudson Data'!$N:$N,'Central Hudson Data'!$B:$B,$B10,'Central Hudson Data'!$O:$O,BG$9,'Central Hudson Data'!$H:$H,"G")</f>
        <v>0</v>
      </c>
      <c r="BH10" s="45">
        <f>SUMIFS('Tank.Other.Fuels'!$G:$G,'Tank.Other.Fuels'!$B:$B,$B10,'Tank.Other.Fuels'!$D:$D,$BH$8,'Tank.Other.Fuels'!$E:$E,BH$9)</f>
        <v>1821.41</v>
      </c>
      <c r="BI10" s="45">
        <f>SUMIFS('Tank.Other.Fuels'!$G:$G,'Tank.Other.Fuels'!$B:$B,$B10,'Tank.Other.Fuels'!$D:$D,$BH$8,'Tank.Other.Fuels'!$E:$E,BI$9)</f>
        <v>702.7</v>
      </c>
      <c r="BJ10" s="45">
        <f>SUMIFS('Tank.Other.Fuels'!$G:$G,'Tank.Other.Fuels'!$B:$B,$B10,'Tank.Other.Fuels'!$D:$D,$BH$8,'Tank.Other.Fuels'!$E:$E,BJ$9)</f>
        <v>1587.7</v>
      </c>
      <c r="BK10" s="45">
        <f>SUMIFS('Tank.Other.Fuels'!$G:$G,'Tank.Other.Fuels'!$B:$B,$B10,'Tank.Other.Fuels'!$D:$D,$BH$8,'Tank.Other.Fuels'!$E:$E,BK$9)</f>
        <v>1941.94</v>
      </c>
      <c r="BL10" s="45">
        <f>SUMIFS('Tank.Other.Fuels'!$G:$G,'Tank.Other.Fuels'!$B:$B,$B10,'Tank.Other.Fuels'!$D:$D,$BH$8,'Tank.Other.Fuels'!$E:$E,BL$9)</f>
        <v>0</v>
      </c>
      <c r="BM10" s="45">
        <f>SUMIFS('Tank.Other.Fuels'!$G:$G,'Tank.Other.Fuels'!$B:$B,$B10,'Tank.Other.Fuels'!$D:$D,$BM$8,'Tank.Other.Fuels'!$E:$E,BM$9)</f>
        <v>0</v>
      </c>
      <c r="BN10" s="45">
        <f>SUMIFS('Tank.Other.Fuels'!$G:$G,'Tank.Other.Fuels'!$B:$B,$B10,'Tank.Other.Fuels'!$D:$D,$BM$8,'Tank.Other.Fuels'!$E:$E,BN$9)</f>
        <v>0</v>
      </c>
      <c r="BO10" s="45">
        <f>SUMIFS('Tank.Other.Fuels'!$G:$G,'Tank.Other.Fuels'!$B:$B,$B10,'Tank.Other.Fuels'!$D:$D,$BM$8,'Tank.Other.Fuels'!$E:$E,BO$9)</f>
        <v>0</v>
      </c>
      <c r="BP10" s="45">
        <f>SUMIFS('Tank.Other.Fuels'!$G:$G,'Tank.Other.Fuels'!$B:$B,$B10,'Tank.Other.Fuels'!$D:$D,$BM$8,'Tank.Other.Fuels'!$E:$E,BP$9)</f>
        <v>0</v>
      </c>
      <c r="BQ10" s="45">
        <f>SUMIFS('Tank.Other.Fuels'!$G:$G,'Tank.Other.Fuels'!$B:$B,$B10,'Tank.Other.Fuels'!$D:$D,$BM$8,'Tank.Other.Fuels'!$E:$E,BQ$9)</f>
        <v>0</v>
      </c>
      <c r="BR10" s="46">
        <f>AX10+BC10+BH10+BM10</f>
        <v>10777.349999999999</v>
      </c>
      <c r="BS10" s="46">
        <f>AY10+BD10+BI10+BN10</f>
        <v>7424.79</v>
      </c>
      <c r="BT10" s="46">
        <f>AZ10+BE10+BJ10+BO10</f>
        <v>7770.1699999999983</v>
      </c>
      <c r="BU10" s="46">
        <f>BA10+BF10+BK10+BP10</f>
        <v>8821.84</v>
      </c>
      <c r="BV10" s="46">
        <f>BB10+BG10+BL10+BQ10</f>
        <v>0</v>
      </c>
      <c r="BW10" s="63">
        <f>IFERROR((AVERAGEIF(BR10:BV10,"&lt;&gt;0")),"")</f>
        <v>8698.5374999999985</v>
      </c>
    </row>
    <row r="11" spans="1:75" x14ac:dyDescent="0.25">
      <c r="B11" s="15" t="s">
        <v>217</v>
      </c>
      <c r="C11" s="41" t="str">
        <f>VLOOKUP(B11,'Facility Master List'!$A$6:$D$60,3,FALSE)</f>
        <v>Wastewater facilities</v>
      </c>
      <c r="D11" s="106">
        <f>SUMIFS('Central Hudson Data'!$I:$I,'Central Hudson Data'!$B:$B,$B11,'Central Hudson Data'!$O:$O,D$9,'Central Hudson Data'!$H:$H,"E")</f>
        <v>1313</v>
      </c>
      <c r="E11" s="47">
        <f>SUMIFS('Central Hudson Data'!$I:$I,'Central Hudson Data'!$B:$B,$B11,'Central Hudson Data'!$O:$O,E$9,'Central Hudson Data'!$H:$H,"E")</f>
        <v>1114</v>
      </c>
      <c r="F11" s="154">
        <f>SUMIFS('Central Hudson Data'!$I:$I,'Central Hudson Data'!$B:$B,$B11,'Central Hudson Data'!$O:$O,F$9,'Central Hudson Data'!$H:$H,"E")</f>
        <v>2742</v>
      </c>
      <c r="G11" s="154">
        <f>SUMIFS('Central Hudson Data'!$I:$I,'Central Hudson Data'!$B:$B,$B11,'Central Hudson Data'!$O:$O,G$9,'Central Hudson Data'!$H:$H,"E")</f>
        <v>3221</v>
      </c>
      <c r="H11" s="155">
        <f>SUMIFS('Central Hudson Data'!$I:$I,'Central Hudson Data'!$B:$B,$B11,'Central Hudson Data'!$O:$O,H$9,'Central Hudson Data'!$H:$H,"E")</f>
        <v>0</v>
      </c>
      <c r="I11" s="42">
        <f>SUMIFS('Central Hudson Data'!$I:$I,'Central Hudson Data'!$B:$B,$B11,'Central Hudson Data'!$O:$O,I$9,'Central Hudson Data'!$H:$H,"G")</f>
        <v>0</v>
      </c>
      <c r="J11" s="42">
        <f>SUMIFS('Central Hudson Data'!$I:$I,'Central Hudson Data'!$B:$B,$B11,'Central Hudson Data'!$O:$O,J$9,'Central Hudson Data'!$H:$H,"G")</f>
        <v>0</v>
      </c>
      <c r="K11" s="42">
        <f>SUMIFS('Central Hudson Data'!$I:$I,'Central Hudson Data'!$B:$B,$B11,'Central Hudson Data'!$O:$O,K$9,'Central Hudson Data'!$H:$H,"G")</f>
        <v>0</v>
      </c>
      <c r="L11" s="42">
        <f>SUMIFS('Central Hudson Data'!$I:$I,'Central Hudson Data'!$B:$B,$B11,'Central Hudson Data'!$O:$O,L$9,'Central Hudson Data'!$H:$H,"G")</f>
        <v>0</v>
      </c>
      <c r="M11" s="42">
        <f>SUMIFS('Central Hudson Data'!$I:$I,'Central Hudson Data'!$B:$B,$B11,'Central Hudson Data'!$O:$O,M$9,'Central Hudson Data'!$H:$H,"G")</f>
        <v>0</v>
      </c>
      <c r="N11" s="42">
        <f>SUMIFS('Tank.Other.Fuels'!$F:$F,'Tank.Other.Fuels'!$B:$B,$B11,'Tank.Other.Fuels'!$D:$D,$N$8,'Tank.Other.Fuels'!$E:$E,N$9)</f>
        <v>0</v>
      </c>
      <c r="O11" s="42">
        <f>SUMIFS('Tank.Other.Fuels'!$F:$F,'Tank.Other.Fuels'!$B:$B,$B11,'Tank.Other.Fuels'!$D:$D,$N$8,'Tank.Other.Fuels'!$E:$E,O$9)</f>
        <v>0</v>
      </c>
      <c r="P11" s="42">
        <f>SUMIFS('Tank.Other.Fuels'!$F:$F,'Tank.Other.Fuels'!$B:$B,$B11,'Tank.Other.Fuels'!$D:$D,$N$8,'Tank.Other.Fuels'!$E:$E,P$9)</f>
        <v>0</v>
      </c>
      <c r="Q11" s="42">
        <f>SUMIFS('Tank.Other.Fuels'!$F:$F,'Tank.Other.Fuels'!$B:$B,$B11,'Tank.Other.Fuels'!$D:$D,$N$8,'Tank.Other.Fuels'!$E:$E,Q$9)</f>
        <v>0</v>
      </c>
      <c r="R11" s="42">
        <f>SUMIFS('Tank.Other.Fuels'!$F:$F,'Tank.Other.Fuels'!$B:$B,$B11,'Tank.Other.Fuels'!$D:$D,$N$8,'Tank.Other.Fuels'!$E:$E,R$9)</f>
        <v>0</v>
      </c>
      <c r="S11" s="42">
        <f>SUMIFS('Tank.Other.Fuels'!$F:$F,'Tank.Other.Fuels'!$B:$B,$B11,'Tank.Other.Fuels'!$D:$D,$S$8,'Tank.Other.Fuels'!$E:$E,S$9)</f>
        <v>0</v>
      </c>
      <c r="T11" s="42">
        <f>SUMIFS('Tank.Other.Fuels'!$F:$F,'Tank.Other.Fuels'!$B:$B,$B11,'Tank.Other.Fuels'!$D:$D,$S$8,'Tank.Other.Fuels'!$E:$E,T$9)</f>
        <v>0</v>
      </c>
      <c r="U11" s="42">
        <f>SUMIFS('Tank.Other.Fuels'!$F:$F,'Tank.Other.Fuels'!$B:$B,$B11,'Tank.Other.Fuels'!$D:$D,$S$8,'Tank.Other.Fuels'!$E:$E,U$9)</f>
        <v>0</v>
      </c>
      <c r="V11" s="42">
        <f>SUMIFS('Tank.Other.Fuels'!$F:$F,'Tank.Other.Fuels'!$B:$B,$B11,'Tank.Other.Fuels'!$D:$D,$S$8,'Tank.Other.Fuels'!$E:$E,V$9)</f>
        <v>0</v>
      </c>
      <c r="W11" s="42">
        <f>SUMIFS('Tank.Other.Fuels'!$F:$F,'Tank.Other.Fuels'!$B:$B,$B11,'Tank.Other.Fuels'!$D:$D,$S$8,'Tank.Other.Fuels'!$E:$E,W$9)</f>
        <v>0</v>
      </c>
      <c r="X11" s="156">
        <f>D11/1000*'Factors and Sources'!$C$6/1000</f>
        <v>0.17625449399999998</v>
      </c>
      <c r="Y11" s="157">
        <f>E11/1000*'Factors and Sources'!$C$6/1000</f>
        <v>0.14954113199999999</v>
      </c>
      <c r="Z11" s="157">
        <f>F11/1000*'Factors and Sources'!$C$6/1000</f>
        <v>0.36808059600000004</v>
      </c>
      <c r="AA11" s="157">
        <f>G11/1000*'Factors and Sources'!$C$6/1000</f>
        <v>0.432380598</v>
      </c>
      <c r="AB11" s="157">
        <f>H11/1000*'Factors and Sources'!$C$6/1000</f>
        <v>0</v>
      </c>
      <c r="AC11" s="43">
        <f>I11/10*'Factors and Sources'!$C$7/1000</f>
        <v>0</v>
      </c>
      <c r="AD11" s="43">
        <f>J11/10*'Factors and Sources'!$C$7/1000</f>
        <v>0</v>
      </c>
      <c r="AE11" s="43">
        <f>K11/10*'Factors and Sources'!$C$7/1000</f>
        <v>0</v>
      </c>
      <c r="AF11" s="43">
        <f>L11/10*'Factors and Sources'!$C$7/1000</f>
        <v>0</v>
      </c>
      <c r="AG11" s="43">
        <f>M11/10*'Factors and Sources'!$C$7/1000</f>
        <v>0</v>
      </c>
      <c r="AH11" s="43">
        <f>N11*'Factors and Sources'!$C$8/1000</f>
        <v>0</v>
      </c>
      <c r="AI11" s="43">
        <f>O11*'Factors and Sources'!$C$8/1000</f>
        <v>0</v>
      </c>
      <c r="AJ11" s="43">
        <f>P11*'Factors and Sources'!$C$8/1000</f>
        <v>0</v>
      </c>
      <c r="AK11" s="43">
        <f>Q11*'Factors and Sources'!$C$8/1000</f>
        <v>0</v>
      </c>
      <c r="AL11" s="43">
        <f>R11*'Factors and Sources'!$C$8/1000</f>
        <v>0</v>
      </c>
      <c r="AM11" s="43">
        <f>S11*'Factors and Sources'!$C$9/1000</f>
        <v>0</v>
      </c>
      <c r="AN11" s="43">
        <f>T11*'Factors and Sources'!$C$9/1000</f>
        <v>0</v>
      </c>
      <c r="AO11" s="43">
        <f>U11*'Factors and Sources'!$C$9/1000</f>
        <v>0</v>
      </c>
      <c r="AP11" s="43">
        <f>V11*'Factors and Sources'!$C$9/1000</f>
        <v>0</v>
      </c>
      <c r="AQ11" s="43">
        <f>W11*'Factors and Sources'!$C$9/1000</f>
        <v>0</v>
      </c>
      <c r="AR11" s="43">
        <f t="shared" ref="AR11:AR19" si="0">X11+AC11+AH11+AM11</f>
        <v>0.17625449399999998</v>
      </c>
      <c r="AS11" s="43">
        <f t="shared" ref="AS11:AS19" si="1">Y11+AD11+AI11+AN11</f>
        <v>0.14954113199999999</v>
      </c>
      <c r="AT11" s="43">
        <f t="shared" ref="AT11:AT19" si="2">Z11+AE11+AJ11+AO11</f>
        <v>0.36808059600000004</v>
      </c>
      <c r="AU11" s="43">
        <f t="shared" ref="AU11:AU19" si="3">AA11+AF11+AK11+AP11</f>
        <v>0.432380598</v>
      </c>
      <c r="AV11" s="43">
        <f t="shared" ref="AV11:AV19" si="4">AB11+AG11+AL11+AQ11</f>
        <v>0</v>
      </c>
      <c r="AW11" s="158">
        <f t="shared" ref="AW11:AW21" si="5">IFERROR((AVERAGEIF(AR11:AV11,"&lt;&gt;0")),"")</f>
        <v>0.28156420500000001</v>
      </c>
      <c r="AX11" s="96">
        <f>SUMIFS('Central Hudson Data'!$N:$N,'Central Hudson Data'!$B:$B,$B11,'Central Hudson Data'!$O:$O,AX$9,'Central Hudson Data'!$H:$H,"E")</f>
        <v>588.37</v>
      </c>
      <c r="AY11" s="159">
        <f>SUMIFS('Central Hudson Data'!$N:$N,'Central Hudson Data'!$B:$B,$B11,'Central Hudson Data'!$O:$O,AY$9,'Central Hudson Data'!$H:$H,"E")</f>
        <v>594.09999999999991</v>
      </c>
      <c r="AZ11" s="159">
        <f>SUMIFS('Central Hudson Data'!$N:$N,'Central Hudson Data'!$B:$B,$B11,'Central Hudson Data'!$O:$O,AZ$9,'Central Hudson Data'!$H:$H,"E")</f>
        <v>726.51999999999987</v>
      </c>
      <c r="BA11" s="159">
        <f>SUMIFS('Central Hudson Data'!$N:$N,'Central Hudson Data'!$B:$B,$B11,'Central Hudson Data'!$O:$O,BA$9,'Central Hudson Data'!$H:$H,"E")</f>
        <v>547.82999999999993</v>
      </c>
      <c r="BB11" s="159">
        <f>SUMIFS('Central Hudson Data'!$N:$N,'Central Hudson Data'!$B:$B,$B11,'Central Hudson Data'!$O:$O,BB$9,'Central Hudson Data'!$H:$H,"E")</f>
        <v>0</v>
      </c>
      <c r="BC11" s="44">
        <f>SUMIFS('Central Hudson Data'!$N:$N,'Central Hudson Data'!$B:$B,$B11,'Central Hudson Data'!$O:$O,BC$9,'Central Hudson Data'!$H:$H,"G")</f>
        <v>0</v>
      </c>
      <c r="BD11" s="44">
        <f>SUMIFS('Central Hudson Data'!$N:$N,'Central Hudson Data'!$B:$B,$B11,'Central Hudson Data'!$O:$O,BD$9,'Central Hudson Data'!$H:$H,"G")</f>
        <v>0</v>
      </c>
      <c r="BE11" s="44">
        <f>SUMIFS('Central Hudson Data'!$N:$N,'Central Hudson Data'!$B:$B,$B11,'Central Hudson Data'!$O:$O,BE$9,'Central Hudson Data'!$H:$H,"G")</f>
        <v>0</v>
      </c>
      <c r="BF11" s="44">
        <f>SUMIFS('Central Hudson Data'!$N:$N,'Central Hudson Data'!$B:$B,$B11,'Central Hudson Data'!$O:$O,BF$9,'Central Hudson Data'!$H:$H,"G")</f>
        <v>0</v>
      </c>
      <c r="BG11" s="44">
        <f>SUMIFS('Central Hudson Data'!$N:$N,'Central Hudson Data'!$B:$B,$B11,'Central Hudson Data'!$O:$O,BG$9,'Central Hudson Data'!$H:$H,"G")</f>
        <v>0</v>
      </c>
      <c r="BH11" s="45">
        <f>SUMIFS('Tank.Other.Fuels'!$G:$G,'Tank.Other.Fuels'!$B:$B,$B11,'Tank.Other.Fuels'!$D:$D,$BH$8,'Tank.Other.Fuels'!$E:$E,BH$9)</f>
        <v>0</v>
      </c>
      <c r="BI11" s="45">
        <f>SUMIFS('Tank.Other.Fuels'!$G:$G,'Tank.Other.Fuels'!$B:$B,$B11,'Tank.Other.Fuels'!$D:$D,$BH$8,'Tank.Other.Fuels'!$E:$E,BI$9)</f>
        <v>0</v>
      </c>
      <c r="BJ11" s="45">
        <f>SUMIFS('Tank.Other.Fuels'!$G:$G,'Tank.Other.Fuels'!$B:$B,$B11,'Tank.Other.Fuels'!$D:$D,$BH$8,'Tank.Other.Fuels'!$E:$E,BJ$9)</f>
        <v>0</v>
      </c>
      <c r="BK11" s="45">
        <f>SUMIFS('Tank.Other.Fuels'!$G:$G,'Tank.Other.Fuels'!$B:$B,$B11,'Tank.Other.Fuels'!$D:$D,$BH$8,'Tank.Other.Fuels'!$E:$E,BK$9)</f>
        <v>0</v>
      </c>
      <c r="BL11" s="45">
        <f>SUMIFS('Tank.Other.Fuels'!$G:$G,'Tank.Other.Fuels'!$B:$B,$B11,'Tank.Other.Fuels'!$D:$D,$BH$8,'Tank.Other.Fuels'!$E:$E,BL$9)</f>
        <v>0</v>
      </c>
      <c r="BM11" s="45">
        <f>SUMIFS('Tank.Other.Fuels'!$G:$G,'Tank.Other.Fuels'!$B:$B,$B11,'Tank.Other.Fuels'!$D:$D,$BM$8,'Tank.Other.Fuels'!$E:$E,BM$9)</f>
        <v>0</v>
      </c>
      <c r="BN11" s="45">
        <f>SUMIFS('Tank.Other.Fuels'!$G:$G,'Tank.Other.Fuels'!$B:$B,$B11,'Tank.Other.Fuels'!$D:$D,$BM$8,'Tank.Other.Fuels'!$E:$E,BN$9)</f>
        <v>0</v>
      </c>
      <c r="BO11" s="45">
        <f>SUMIFS('Tank.Other.Fuels'!$G:$G,'Tank.Other.Fuels'!$B:$B,$B11,'Tank.Other.Fuels'!$D:$D,$BM$8,'Tank.Other.Fuels'!$E:$E,BO$9)</f>
        <v>0</v>
      </c>
      <c r="BP11" s="45">
        <f>SUMIFS('Tank.Other.Fuels'!$G:$G,'Tank.Other.Fuels'!$B:$B,$B11,'Tank.Other.Fuels'!$D:$D,$BM$8,'Tank.Other.Fuels'!$E:$E,BP$9)</f>
        <v>0</v>
      </c>
      <c r="BQ11" s="45">
        <f>SUMIFS('Tank.Other.Fuels'!$G:$G,'Tank.Other.Fuels'!$B:$B,$B11,'Tank.Other.Fuels'!$D:$D,$BM$8,'Tank.Other.Fuels'!$E:$E,BQ$9)</f>
        <v>0</v>
      </c>
      <c r="BR11" s="46">
        <f t="shared" ref="BR11:BR19" si="6">AX11+BC11+BH11+BM11</f>
        <v>588.37</v>
      </c>
      <c r="BS11" s="46">
        <f t="shared" ref="BS11:BS19" si="7">AY11+BD11+BI11+BN11</f>
        <v>594.09999999999991</v>
      </c>
      <c r="BT11" s="46">
        <f t="shared" ref="BT11:BT19" si="8">AZ11+BE11+BJ11+BO11</f>
        <v>726.51999999999987</v>
      </c>
      <c r="BU11" s="46">
        <f t="shared" ref="BU11:BU19" si="9">BA11+BF11+BK11+BP11</f>
        <v>547.82999999999993</v>
      </c>
      <c r="BV11" s="46">
        <f t="shared" ref="BV11:BV19" si="10">BB11+BG11+BL11+BQ11</f>
        <v>0</v>
      </c>
      <c r="BW11" s="63">
        <f t="shared" ref="BW11:BW21" si="11">IFERROR((AVERAGEIF(BR11:BV11,"&lt;&gt;0")),"")</f>
        <v>614.20499999999993</v>
      </c>
    </row>
    <row r="12" spans="1:75" x14ac:dyDescent="0.25">
      <c r="B12" s="15" t="s">
        <v>218</v>
      </c>
      <c r="C12" s="41" t="str">
        <f>VLOOKUP(B12,'Facility Master List'!$A$6:$D$60,3,FALSE)</f>
        <v>Wastewater facilities</v>
      </c>
      <c r="D12" s="106">
        <f>SUMIFS('Central Hudson Data'!$I:$I,'Central Hudson Data'!$B:$B,$B12,'Central Hudson Data'!$O:$O,D$9,'Central Hudson Data'!$H:$H,"E")</f>
        <v>3915</v>
      </c>
      <c r="E12" s="47">
        <f>SUMIFS('Central Hudson Data'!$I:$I,'Central Hudson Data'!$B:$B,$B12,'Central Hudson Data'!$O:$O,E$9,'Central Hudson Data'!$H:$H,"E")</f>
        <v>9989</v>
      </c>
      <c r="F12" s="154">
        <f>SUMIFS('Central Hudson Data'!$I:$I,'Central Hudson Data'!$B:$B,$B12,'Central Hudson Data'!$O:$O,F$9,'Central Hudson Data'!$H:$H,"E")</f>
        <v>6645</v>
      </c>
      <c r="G12" s="154">
        <f>SUMIFS('Central Hudson Data'!$I:$I,'Central Hudson Data'!$B:$B,$B12,'Central Hudson Data'!$O:$O,G$9,'Central Hudson Data'!$H:$H,"E")</f>
        <v>2624</v>
      </c>
      <c r="H12" s="155">
        <f>SUMIFS('Central Hudson Data'!$I:$I,'Central Hudson Data'!$B:$B,$B12,'Central Hudson Data'!$O:$O,H$9,'Central Hudson Data'!$H:$H,"E")</f>
        <v>0</v>
      </c>
      <c r="I12" s="42">
        <f>SUMIFS('Central Hudson Data'!$I:$I,'Central Hudson Data'!$B:$B,$B12,'Central Hudson Data'!$O:$O,I$9,'Central Hudson Data'!$H:$H,"G")</f>
        <v>0</v>
      </c>
      <c r="J12" s="42">
        <f>SUMIFS('Central Hudson Data'!$I:$I,'Central Hudson Data'!$B:$B,$B12,'Central Hudson Data'!$O:$O,J$9,'Central Hudson Data'!$H:$H,"G")</f>
        <v>0</v>
      </c>
      <c r="K12" s="42">
        <f>SUMIFS('Central Hudson Data'!$I:$I,'Central Hudson Data'!$B:$B,$B12,'Central Hudson Data'!$O:$O,K$9,'Central Hudson Data'!$H:$H,"G")</f>
        <v>0</v>
      </c>
      <c r="L12" s="42">
        <f>SUMIFS('Central Hudson Data'!$I:$I,'Central Hudson Data'!$B:$B,$B12,'Central Hudson Data'!$O:$O,L$9,'Central Hudson Data'!$H:$H,"G")</f>
        <v>0</v>
      </c>
      <c r="M12" s="42">
        <f>SUMIFS('Central Hudson Data'!$I:$I,'Central Hudson Data'!$B:$B,$B12,'Central Hudson Data'!$O:$O,M$9,'Central Hudson Data'!$H:$H,"G")</f>
        <v>0</v>
      </c>
      <c r="N12" s="42">
        <f>SUMIFS('Tank.Other.Fuels'!$F:$F,'Tank.Other.Fuels'!$B:$B,$B12,'Tank.Other.Fuels'!$D:$D,$N$8,'Tank.Other.Fuels'!$E:$E,N$9)</f>
        <v>0</v>
      </c>
      <c r="O12" s="42">
        <f>SUMIFS('Tank.Other.Fuels'!$F:$F,'Tank.Other.Fuels'!$B:$B,$B12,'Tank.Other.Fuels'!$D:$D,$N$8,'Tank.Other.Fuels'!$E:$E,O$9)</f>
        <v>0</v>
      </c>
      <c r="P12" s="42">
        <f>SUMIFS('Tank.Other.Fuels'!$F:$F,'Tank.Other.Fuels'!$B:$B,$B12,'Tank.Other.Fuels'!$D:$D,$N$8,'Tank.Other.Fuels'!$E:$E,P$9)</f>
        <v>0</v>
      </c>
      <c r="Q12" s="42">
        <f>SUMIFS('Tank.Other.Fuels'!$F:$F,'Tank.Other.Fuels'!$B:$B,$B12,'Tank.Other.Fuels'!$D:$D,$N$8,'Tank.Other.Fuels'!$E:$E,Q$9)</f>
        <v>0</v>
      </c>
      <c r="R12" s="42">
        <f>SUMIFS('Tank.Other.Fuels'!$F:$F,'Tank.Other.Fuels'!$B:$B,$B12,'Tank.Other.Fuels'!$D:$D,$N$8,'Tank.Other.Fuels'!$E:$E,R$9)</f>
        <v>0</v>
      </c>
      <c r="S12" s="42">
        <f>SUMIFS('Tank.Other.Fuels'!$F:$F,'Tank.Other.Fuels'!$B:$B,$B12,'Tank.Other.Fuels'!$D:$D,$S$8,'Tank.Other.Fuels'!$E:$E,S$9)</f>
        <v>0</v>
      </c>
      <c r="T12" s="42">
        <f>SUMIFS('Tank.Other.Fuels'!$F:$F,'Tank.Other.Fuels'!$B:$B,$B12,'Tank.Other.Fuels'!$D:$D,$S$8,'Tank.Other.Fuels'!$E:$E,T$9)</f>
        <v>0</v>
      </c>
      <c r="U12" s="42">
        <f>SUMIFS('Tank.Other.Fuels'!$F:$F,'Tank.Other.Fuels'!$B:$B,$B12,'Tank.Other.Fuels'!$D:$D,$S$8,'Tank.Other.Fuels'!$E:$E,U$9)</f>
        <v>0</v>
      </c>
      <c r="V12" s="42">
        <f>SUMIFS('Tank.Other.Fuels'!$F:$F,'Tank.Other.Fuels'!$B:$B,$B12,'Tank.Other.Fuels'!$D:$D,$S$8,'Tank.Other.Fuels'!$E:$E,V$9)</f>
        <v>0</v>
      </c>
      <c r="W12" s="42">
        <f>SUMIFS('Tank.Other.Fuels'!$F:$F,'Tank.Other.Fuels'!$B:$B,$B12,'Tank.Other.Fuels'!$D:$D,$S$8,'Tank.Other.Fuels'!$E:$E,W$9)</f>
        <v>0</v>
      </c>
      <c r="X12" s="156">
        <f>D12/1000*'Factors and Sources'!$C$6/1000</f>
        <v>0.52554177000000002</v>
      </c>
      <c r="Y12" s="157">
        <f>E12/1000*'Factors and Sources'!$C$6/1000</f>
        <v>1.3409033820000003</v>
      </c>
      <c r="Z12" s="157">
        <f>F12/1000*'Factors and Sources'!$C$6/1000</f>
        <v>0.8920115099999999</v>
      </c>
      <c r="AA12" s="157">
        <f>G12/1000*'Factors and Sources'!$C$6/1000</f>
        <v>0.35224051200000001</v>
      </c>
      <c r="AB12" s="157">
        <f>H12/1000*'Factors and Sources'!$C$6/1000</f>
        <v>0</v>
      </c>
      <c r="AC12" s="43">
        <f>I12/10*'Factors and Sources'!$C$7/1000</f>
        <v>0</v>
      </c>
      <c r="AD12" s="43">
        <f>J12/10*'Factors and Sources'!$C$7/1000</f>
        <v>0</v>
      </c>
      <c r="AE12" s="43">
        <f>K12/10*'Factors and Sources'!$C$7/1000</f>
        <v>0</v>
      </c>
      <c r="AF12" s="43">
        <f>L12/10*'Factors and Sources'!$C$7/1000</f>
        <v>0</v>
      </c>
      <c r="AG12" s="43">
        <f>M12/10*'Factors and Sources'!$C$7/1000</f>
        <v>0</v>
      </c>
      <c r="AH12" s="43">
        <f>N12*'Factors and Sources'!$C$8/1000</f>
        <v>0</v>
      </c>
      <c r="AI12" s="43">
        <f>O12*'Factors and Sources'!$C$8/1000</f>
        <v>0</v>
      </c>
      <c r="AJ12" s="43">
        <f>P12*'Factors and Sources'!$C$8/1000</f>
        <v>0</v>
      </c>
      <c r="AK12" s="43">
        <f>Q12*'Factors and Sources'!$C$8/1000</f>
        <v>0</v>
      </c>
      <c r="AL12" s="43">
        <f>R12*'Factors and Sources'!$C$8/1000</f>
        <v>0</v>
      </c>
      <c r="AM12" s="43">
        <f>S12*'Factors and Sources'!$C$9/1000</f>
        <v>0</v>
      </c>
      <c r="AN12" s="43">
        <f>T12*'Factors and Sources'!$C$9/1000</f>
        <v>0</v>
      </c>
      <c r="AO12" s="43">
        <f>U12*'Factors and Sources'!$C$9/1000</f>
        <v>0</v>
      </c>
      <c r="AP12" s="43">
        <f>V12*'Factors and Sources'!$C$9/1000</f>
        <v>0</v>
      </c>
      <c r="AQ12" s="43">
        <f>W12*'Factors and Sources'!$C$9/1000</f>
        <v>0</v>
      </c>
      <c r="AR12" s="43">
        <f t="shared" si="0"/>
        <v>0.52554177000000002</v>
      </c>
      <c r="AS12" s="43">
        <f t="shared" si="1"/>
        <v>1.3409033820000003</v>
      </c>
      <c r="AT12" s="43">
        <f t="shared" si="2"/>
        <v>0.8920115099999999</v>
      </c>
      <c r="AU12" s="43">
        <f t="shared" si="3"/>
        <v>0.35224051200000001</v>
      </c>
      <c r="AV12" s="43">
        <f t="shared" si="4"/>
        <v>0</v>
      </c>
      <c r="AW12" s="158">
        <f t="shared" si="5"/>
        <v>0.77767429350000006</v>
      </c>
      <c r="AX12" s="96">
        <f>SUMIFS('Central Hudson Data'!$N:$N,'Central Hudson Data'!$B:$B,$B12,'Central Hudson Data'!$O:$O,AX$9,'Central Hudson Data'!$H:$H,"E")</f>
        <v>869.24</v>
      </c>
      <c r="AY12" s="159">
        <f>SUMIFS('Central Hudson Data'!$N:$N,'Central Hudson Data'!$B:$B,$B12,'Central Hudson Data'!$O:$O,AY$9,'Central Hudson Data'!$H:$H,"E")</f>
        <v>1377.08</v>
      </c>
      <c r="AZ12" s="159">
        <f>SUMIFS('Central Hudson Data'!$N:$N,'Central Hudson Data'!$B:$B,$B12,'Central Hudson Data'!$O:$O,AZ$9,'Central Hudson Data'!$H:$H,"E")</f>
        <v>1303.94</v>
      </c>
      <c r="BA12" s="159">
        <f>SUMIFS('Central Hudson Data'!$N:$N,'Central Hudson Data'!$B:$B,$B12,'Central Hudson Data'!$O:$O,BA$9,'Central Hudson Data'!$H:$H,"E")</f>
        <v>650.26</v>
      </c>
      <c r="BB12" s="159">
        <f>SUMIFS('Central Hudson Data'!$N:$N,'Central Hudson Data'!$B:$B,$B12,'Central Hudson Data'!$O:$O,BB$9,'Central Hudson Data'!$H:$H,"E")</f>
        <v>0</v>
      </c>
      <c r="BC12" s="44">
        <f>SUMIFS('Central Hudson Data'!$N:$N,'Central Hudson Data'!$B:$B,$B12,'Central Hudson Data'!$O:$O,BC$9,'Central Hudson Data'!$H:$H,"G")</f>
        <v>0</v>
      </c>
      <c r="BD12" s="44">
        <f>SUMIFS('Central Hudson Data'!$N:$N,'Central Hudson Data'!$B:$B,$B12,'Central Hudson Data'!$O:$O,BD$9,'Central Hudson Data'!$H:$H,"G")</f>
        <v>0</v>
      </c>
      <c r="BE12" s="44">
        <f>SUMIFS('Central Hudson Data'!$N:$N,'Central Hudson Data'!$B:$B,$B12,'Central Hudson Data'!$O:$O,BE$9,'Central Hudson Data'!$H:$H,"G")</f>
        <v>0</v>
      </c>
      <c r="BF12" s="44">
        <f>SUMIFS('Central Hudson Data'!$N:$N,'Central Hudson Data'!$B:$B,$B12,'Central Hudson Data'!$O:$O,BF$9,'Central Hudson Data'!$H:$H,"G")</f>
        <v>0</v>
      </c>
      <c r="BG12" s="44">
        <f>SUMIFS('Central Hudson Data'!$N:$N,'Central Hudson Data'!$B:$B,$B12,'Central Hudson Data'!$O:$O,BG$9,'Central Hudson Data'!$H:$H,"G")</f>
        <v>0</v>
      </c>
      <c r="BH12" s="45">
        <f>SUMIFS('Tank.Other.Fuels'!$G:$G,'Tank.Other.Fuels'!$B:$B,$B12,'Tank.Other.Fuels'!$D:$D,$BH$8,'Tank.Other.Fuels'!$E:$E,BH$9)</f>
        <v>0</v>
      </c>
      <c r="BI12" s="45">
        <f>SUMIFS('Tank.Other.Fuels'!$G:$G,'Tank.Other.Fuels'!$B:$B,$B12,'Tank.Other.Fuels'!$D:$D,$BH$8,'Tank.Other.Fuels'!$E:$E,BI$9)</f>
        <v>0</v>
      </c>
      <c r="BJ12" s="45">
        <f>SUMIFS('Tank.Other.Fuels'!$G:$G,'Tank.Other.Fuels'!$B:$B,$B12,'Tank.Other.Fuels'!$D:$D,$BH$8,'Tank.Other.Fuels'!$E:$E,BJ$9)</f>
        <v>0</v>
      </c>
      <c r="BK12" s="45">
        <f>SUMIFS('Tank.Other.Fuels'!$G:$G,'Tank.Other.Fuels'!$B:$B,$B12,'Tank.Other.Fuels'!$D:$D,$BH$8,'Tank.Other.Fuels'!$E:$E,BK$9)</f>
        <v>0</v>
      </c>
      <c r="BL12" s="45">
        <f>SUMIFS('Tank.Other.Fuels'!$G:$G,'Tank.Other.Fuels'!$B:$B,$B12,'Tank.Other.Fuels'!$D:$D,$BH$8,'Tank.Other.Fuels'!$E:$E,BL$9)</f>
        <v>0</v>
      </c>
      <c r="BM12" s="45">
        <f>SUMIFS('Tank.Other.Fuels'!$G:$G,'Tank.Other.Fuels'!$B:$B,$B12,'Tank.Other.Fuels'!$D:$D,$BM$8,'Tank.Other.Fuels'!$E:$E,BM$9)</f>
        <v>0</v>
      </c>
      <c r="BN12" s="45">
        <f>SUMIFS('Tank.Other.Fuels'!$G:$G,'Tank.Other.Fuels'!$B:$B,$B12,'Tank.Other.Fuels'!$D:$D,$BM$8,'Tank.Other.Fuels'!$E:$E,BN$9)</f>
        <v>0</v>
      </c>
      <c r="BO12" s="45">
        <f>SUMIFS('Tank.Other.Fuels'!$G:$G,'Tank.Other.Fuels'!$B:$B,$B12,'Tank.Other.Fuels'!$D:$D,$BM$8,'Tank.Other.Fuels'!$E:$E,BO$9)</f>
        <v>0</v>
      </c>
      <c r="BP12" s="45">
        <f>SUMIFS('Tank.Other.Fuels'!$G:$G,'Tank.Other.Fuels'!$B:$B,$B12,'Tank.Other.Fuels'!$D:$D,$BM$8,'Tank.Other.Fuels'!$E:$E,BP$9)</f>
        <v>0</v>
      </c>
      <c r="BQ12" s="45">
        <f>SUMIFS('Tank.Other.Fuels'!$G:$G,'Tank.Other.Fuels'!$B:$B,$B12,'Tank.Other.Fuels'!$D:$D,$BM$8,'Tank.Other.Fuels'!$E:$E,BQ$9)</f>
        <v>0</v>
      </c>
      <c r="BR12" s="46">
        <f t="shared" si="6"/>
        <v>869.24</v>
      </c>
      <c r="BS12" s="46">
        <f t="shared" si="7"/>
        <v>1377.08</v>
      </c>
      <c r="BT12" s="46">
        <f t="shared" si="8"/>
        <v>1303.94</v>
      </c>
      <c r="BU12" s="46">
        <f t="shared" si="9"/>
        <v>650.26</v>
      </c>
      <c r="BV12" s="46">
        <f t="shared" si="10"/>
        <v>0</v>
      </c>
      <c r="BW12" s="63">
        <f t="shared" si="11"/>
        <v>1050.1299999999999</v>
      </c>
    </row>
    <row r="13" spans="1:75" x14ac:dyDescent="0.25">
      <c r="B13" s="15" t="s">
        <v>219</v>
      </c>
      <c r="C13" s="41" t="str">
        <f>VLOOKUP(B13,'Facility Master List'!$A$6:$D$60,3,FALSE)</f>
        <v>Wastewater facilities</v>
      </c>
      <c r="D13" s="106">
        <f>SUMIFS('Central Hudson Data'!$I:$I,'Central Hudson Data'!$B:$B,$B13,'Central Hudson Data'!$O:$O,D$9,'Central Hudson Data'!$H:$H,"E")</f>
        <v>0</v>
      </c>
      <c r="E13" s="47">
        <f>SUMIFS('Central Hudson Data'!$I:$I,'Central Hudson Data'!$B:$B,$B13,'Central Hudson Data'!$O:$O,E$9,'Central Hudson Data'!$H:$H,"E")</f>
        <v>3616</v>
      </c>
      <c r="F13" s="154">
        <f>SUMIFS('Central Hudson Data'!$I:$I,'Central Hudson Data'!$B:$B,$B13,'Central Hudson Data'!$O:$O,F$9,'Central Hudson Data'!$H:$H,"E")</f>
        <v>5322</v>
      </c>
      <c r="G13" s="154">
        <f>SUMIFS('Central Hudson Data'!$I:$I,'Central Hudson Data'!$B:$B,$B13,'Central Hudson Data'!$O:$O,G$9,'Central Hudson Data'!$H:$H,"E")</f>
        <v>5411</v>
      </c>
      <c r="H13" s="155">
        <f>SUMIFS('Central Hudson Data'!$I:$I,'Central Hudson Data'!$B:$B,$B13,'Central Hudson Data'!$O:$O,H$9,'Central Hudson Data'!$H:$H,"E")</f>
        <v>0</v>
      </c>
      <c r="I13" s="42">
        <f>SUMIFS('Central Hudson Data'!$I:$I,'Central Hudson Data'!$B:$B,$B13,'Central Hudson Data'!$O:$O,I$9,'Central Hudson Data'!$H:$H,"G")</f>
        <v>0</v>
      </c>
      <c r="J13" s="42">
        <f>SUMIFS('Central Hudson Data'!$I:$I,'Central Hudson Data'!$B:$B,$B13,'Central Hudson Data'!$O:$O,J$9,'Central Hudson Data'!$H:$H,"G")</f>
        <v>0</v>
      </c>
      <c r="K13" s="42">
        <f>SUMIFS('Central Hudson Data'!$I:$I,'Central Hudson Data'!$B:$B,$B13,'Central Hudson Data'!$O:$O,K$9,'Central Hudson Data'!$H:$H,"G")</f>
        <v>0</v>
      </c>
      <c r="L13" s="42">
        <f>SUMIFS('Central Hudson Data'!$I:$I,'Central Hudson Data'!$B:$B,$B13,'Central Hudson Data'!$O:$O,L$9,'Central Hudson Data'!$H:$H,"G")</f>
        <v>0</v>
      </c>
      <c r="M13" s="42">
        <f>SUMIFS('Central Hudson Data'!$I:$I,'Central Hudson Data'!$B:$B,$B13,'Central Hudson Data'!$O:$O,M$9,'Central Hudson Data'!$H:$H,"G")</f>
        <v>0</v>
      </c>
      <c r="N13" s="42">
        <f>SUMIFS('Tank.Other.Fuels'!$F:$F,'Tank.Other.Fuels'!$B:$B,$B13,'Tank.Other.Fuels'!$D:$D,$N$8,'Tank.Other.Fuels'!$E:$E,N$9)</f>
        <v>0</v>
      </c>
      <c r="O13" s="42">
        <f>SUMIFS('Tank.Other.Fuels'!$F:$F,'Tank.Other.Fuels'!$B:$B,$B13,'Tank.Other.Fuels'!$D:$D,$N$8,'Tank.Other.Fuels'!$E:$E,O$9)</f>
        <v>0</v>
      </c>
      <c r="P13" s="42">
        <f>SUMIFS('Tank.Other.Fuels'!$F:$F,'Tank.Other.Fuels'!$B:$B,$B13,'Tank.Other.Fuels'!$D:$D,$N$8,'Tank.Other.Fuels'!$E:$E,P$9)</f>
        <v>0</v>
      </c>
      <c r="Q13" s="42">
        <f>SUMIFS('Tank.Other.Fuels'!$F:$F,'Tank.Other.Fuels'!$B:$B,$B13,'Tank.Other.Fuels'!$D:$D,$N$8,'Tank.Other.Fuels'!$E:$E,Q$9)</f>
        <v>0</v>
      </c>
      <c r="R13" s="42">
        <f>SUMIFS('Tank.Other.Fuels'!$F:$F,'Tank.Other.Fuels'!$B:$B,$B13,'Tank.Other.Fuels'!$D:$D,$N$8,'Tank.Other.Fuels'!$E:$E,R$9)</f>
        <v>0</v>
      </c>
      <c r="S13" s="42">
        <f>SUMIFS('Tank.Other.Fuels'!$F:$F,'Tank.Other.Fuels'!$B:$B,$B13,'Tank.Other.Fuels'!$D:$D,$S$8,'Tank.Other.Fuels'!$E:$E,S$9)</f>
        <v>0</v>
      </c>
      <c r="T13" s="42">
        <f>SUMIFS('Tank.Other.Fuels'!$F:$F,'Tank.Other.Fuels'!$B:$B,$B13,'Tank.Other.Fuels'!$D:$D,$S$8,'Tank.Other.Fuels'!$E:$E,T$9)</f>
        <v>0</v>
      </c>
      <c r="U13" s="42">
        <f>SUMIFS('Tank.Other.Fuels'!$F:$F,'Tank.Other.Fuels'!$B:$B,$B13,'Tank.Other.Fuels'!$D:$D,$S$8,'Tank.Other.Fuels'!$E:$E,U$9)</f>
        <v>0</v>
      </c>
      <c r="V13" s="42">
        <f>SUMIFS('Tank.Other.Fuels'!$F:$F,'Tank.Other.Fuels'!$B:$B,$B13,'Tank.Other.Fuels'!$D:$D,$S$8,'Tank.Other.Fuels'!$E:$E,V$9)</f>
        <v>0</v>
      </c>
      <c r="W13" s="42">
        <f>SUMIFS('Tank.Other.Fuels'!$F:$F,'Tank.Other.Fuels'!$B:$B,$B13,'Tank.Other.Fuels'!$D:$D,$S$8,'Tank.Other.Fuels'!$E:$E,W$9)</f>
        <v>0</v>
      </c>
      <c r="X13" s="156">
        <f>D13/1000*'Factors and Sources'!$C$6/1000</f>
        <v>0</v>
      </c>
      <c r="Y13" s="157">
        <f>E13/1000*'Factors and Sources'!$C$6/1000</f>
        <v>0.48540460800000002</v>
      </c>
      <c r="Z13" s="157">
        <f>F13/1000*'Factors and Sources'!$C$6/1000</f>
        <v>0.71441463599999999</v>
      </c>
      <c r="AA13" s="157">
        <f>G13/1000*'Factors and Sources'!$C$6/1000</f>
        <v>0.72636181799999999</v>
      </c>
      <c r="AB13" s="157">
        <f>H13/1000*'Factors and Sources'!$C$6/1000</f>
        <v>0</v>
      </c>
      <c r="AC13" s="43">
        <f>I13/10*'Factors and Sources'!$C$7/1000</f>
        <v>0</v>
      </c>
      <c r="AD13" s="43">
        <f>J13/10*'Factors and Sources'!$C$7/1000</f>
        <v>0</v>
      </c>
      <c r="AE13" s="43">
        <f>K13/10*'Factors and Sources'!$C$7/1000</f>
        <v>0</v>
      </c>
      <c r="AF13" s="43">
        <f>L13/10*'Factors and Sources'!$C$7/1000</f>
        <v>0</v>
      </c>
      <c r="AG13" s="43">
        <f>M13/10*'Factors and Sources'!$C$7/1000</f>
        <v>0</v>
      </c>
      <c r="AH13" s="43">
        <f>N13*'Factors and Sources'!$C$8/1000</f>
        <v>0</v>
      </c>
      <c r="AI13" s="43">
        <f>O13*'Factors and Sources'!$C$8/1000</f>
        <v>0</v>
      </c>
      <c r="AJ13" s="43">
        <f>P13*'Factors and Sources'!$C$8/1000</f>
        <v>0</v>
      </c>
      <c r="AK13" s="43">
        <f>Q13*'Factors and Sources'!$C$8/1000</f>
        <v>0</v>
      </c>
      <c r="AL13" s="43">
        <f>R13*'Factors and Sources'!$C$8/1000</f>
        <v>0</v>
      </c>
      <c r="AM13" s="43">
        <f>S13*'Factors and Sources'!$C$9/1000</f>
        <v>0</v>
      </c>
      <c r="AN13" s="43">
        <f>T13*'Factors and Sources'!$C$9/1000</f>
        <v>0</v>
      </c>
      <c r="AO13" s="43">
        <f>U13*'Factors and Sources'!$C$9/1000</f>
        <v>0</v>
      </c>
      <c r="AP13" s="43">
        <f>V13*'Factors and Sources'!$C$9/1000</f>
        <v>0</v>
      </c>
      <c r="AQ13" s="43">
        <f>W13*'Factors and Sources'!$C$9/1000</f>
        <v>0</v>
      </c>
      <c r="AR13" s="43">
        <f t="shared" si="0"/>
        <v>0</v>
      </c>
      <c r="AS13" s="43">
        <f t="shared" si="1"/>
        <v>0.48540460800000002</v>
      </c>
      <c r="AT13" s="43">
        <f t="shared" si="2"/>
        <v>0.71441463599999999</v>
      </c>
      <c r="AU13" s="43">
        <f t="shared" si="3"/>
        <v>0.72636181799999999</v>
      </c>
      <c r="AV13" s="43">
        <f t="shared" si="4"/>
        <v>0</v>
      </c>
      <c r="AW13" s="158">
        <f t="shared" si="5"/>
        <v>0.64206035399999994</v>
      </c>
      <c r="AX13" s="96">
        <f>SUMIFS('Central Hudson Data'!$N:$N,'Central Hudson Data'!$B:$B,$B13,'Central Hudson Data'!$O:$O,AX$9,'Central Hudson Data'!$H:$H,"E")</f>
        <v>453.73</v>
      </c>
      <c r="AY13" s="159">
        <f>SUMIFS('Central Hudson Data'!$N:$N,'Central Hudson Data'!$B:$B,$B13,'Central Hudson Data'!$O:$O,AY$9,'Central Hudson Data'!$H:$H,"E")</f>
        <v>906.63000000000011</v>
      </c>
      <c r="AZ13" s="159">
        <f>SUMIFS('Central Hudson Data'!$N:$N,'Central Hudson Data'!$B:$B,$B13,'Central Hudson Data'!$O:$O,AZ$9,'Central Hudson Data'!$H:$H,"E")</f>
        <v>959.73</v>
      </c>
      <c r="BA13" s="159">
        <f>SUMIFS('Central Hudson Data'!$N:$N,'Central Hudson Data'!$B:$B,$B13,'Central Hudson Data'!$O:$O,BA$9,'Central Hudson Data'!$H:$H,"E")</f>
        <v>1188.3200000000002</v>
      </c>
      <c r="BB13" s="159">
        <f>SUMIFS('Central Hudson Data'!$N:$N,'Central Hudson Data'!$B:$B,$B13,'Central Hudson Data'!$O:$O,BB$9,'Central Hudson Data'!$H:$H,"E")</f>
        <v>0</v>
      </c>
      <c r="BC13" s="44">
        <f>SUMIFS('Central Hudson Data'!$N:$N,'Central Hudson Data'!$B:$B,$B13,'Central Hudson Data'!$O:$O,BC$9,'Central Hudson Data'!$H:$H,"G")</f>
        <v>0</v>
      </c>
      <c r="BD13" s="44">
        <f>SUMIFS('Central Hudson Data'!$N:$N,'Central Hudson Data'!$B:$B,$B13,'Central Hudson Data'!$O:$O,BD$9,'Central Hudson Data'!$H:$H,"G")</f>
        <v>0</v>
      </c>
      <c r="BE13" s="44">
        <f>SUMIFS('Central Hudson Data'!$N:$N,'Central Hudson Data'!$B:$B,$B13,'Central Hudson Data'!$O:$O,BE$9,'Central Hudson Data'!$H:$H,"G")</f>
        <v>0</v>
      </c>
      <c r="BF13" s="44">
        <f>SUMIFS('Central Hudson Data'!$N:$N,'Central Hudson Data'!$B:$B,$B13,'Central Hudson Data'!$O:$O,BF$9,'Central Hudson Data'!$H:$H,"G")</f>
        <v>0</v>
      </c>
      <c r="BG13" s="44">
        <f>SUMIFS('Central Hudson Data'!$N:$N,'Central Hudson Data'!$B:$B,$B13,'Central Hudson Data'!$O:$O,BG$9,'Central Hudson Data'!$H:$H,"G")</f>
        <v>0</v>
      </c>
      <c r="BH13" s="45">
        <f>SUMIFS('Tank.Other.Fuels'!$G:$G,'Tank.Other.Fuels'!$B:$B,$B13,'Tank.Other.Fuels'!$D:$D,$BH$8,'Tank.Other.Fuels'!$E:$E,BH$9)</f>
        <v>0</v>
      </c>
      <c r="BI13" s="45">
        <f>SUMIFS('Tank.Other.Fuels'!$G:$G,'Tank.Other.Fuels'!$B:$B,$B13,'Tank.Other.Fuels'!$D:$D,$BH$8,'Tank.Other.Fuels'!$E:$E,BI$9)</f>
        <v>0</v>
      </c>
      <c r="BJ13" s="45">
        <f>SUMIFS('Tank.Other.Fuels'!$G:$G,'Tank.Other.Fuels'!$B:$B,$B13,'Tank.Other.Fuels'!$D:$D,$BH$8,'Tank.Other.Fuels'!$E:$E,BJ$9)</f>
        <v>0</v>
      </c>
      <c r="BK13" s="45">
        <f>SUMIFS('Tank.Other.Fuels'!$G:$G,'Tank.Other.Fuels'!$B:$B,$B13,'Tank.Other.Fuels'!$D:$D,$BH$8,'Tank.Other.Fuels'!$E:$E,BK$9)</f>
        <v>0</v>
      </c>
      <c r="BL13" s="45">
        <f>SUMIFS('Tank.Other.Fuels'!$G:$G,'Tank.Other.Fuels'!$B:$B,$B13,'Tank.Other.Fuels'!$D:$D,$BH$8,'Tank.Other.Fuels'!$E:$E,BL$9)</f>
        <v>0</v>
      </c>
      <c r="BM13" s="45">
        <f>SUMIFS('Tank.Other.Fuels'!$G:$G,'Tank.Other.Fuels'!$B:$B,$B13,'Tank.Other.Fuels'!$D:$D,$BM$8,'Tank.Other.Fuels'!$E:$E,BM$9)</f>
        <v>0</v>
      </c>
      <c r="BN13" s="45">
        <f>SUMIFS('Tank.Other.Fuels'!$G:$G,'Tank.Other.Fuels'!$B:$B,$B13,'Tank.Other.Fuels'!$D:$D,$BM$8,'Tank.Other.Fuels'!$E:$E,BN$9)</f>
        <v>0</v>
      </c>
      <c r="BO13" s="45">
        <f>SUMIFS('Tank.Other.Fuels'!$G:$G,'Tank.Other.Fuels'!$B:$B,$B13,'Tank.Other.Fuels'!$D:$D,$BM$8,'Tank.Other.Fuels'!$E:$E,BO$9)</f>
        <v>0</v>
      </c>
      <c r="BP13" s="45">
        <f>SUMIFS('Tank.Other.Fuels'!$G:$G,'Tank.Other.Fuels'!$B:$B,$B13,'Tank.Other.Fuels'!$D:$D,$BM$8,'Tank.Other.Fuels'!$E:$E,BP$9)</f>
        <v>0</v>
      </c>
      <c r="BQ13" s="45">
        <f>SUMIFS('Tank.Other.Fuels'!$G:$G,'Tank.Other.Fuels'!$B:$B,$B13,'Tank.Other.Fuels'!$D:$D,$BM$8,'Tank.Other.Fuels'!$E:$E,BQ$9)</f>
        <v>0</v>
      </c>
      <c r="BR13" s="46">
        <f t="shared" si="6"/>
        <v>453.73</v>
      </c>
      <c r="BS13" s="46">
        <f t="shared" si="7"/>
        <v>906.63000000000011</v>
      </c>
      <c r="BT13" s="46">
        <f t="shared" si="8"/>
        <v>959.73</v>
      </c>
      <c r="BU13" s="46">
        <f t="shared" si="9"/>
        <v>1188.3200000000002</v>
      </c>
      <c r="BV13" s="46">
        <f t="shared" si="10"/>
        <v>0</v>
      </c>
      <c r="BW13" s="63">
        <f t="shared" si="11"/>
        <v>877.10250000000008</v>
      </c>
    </row>
    <row r="14" spans="1:75" x14ac:dyDescent="0.25">
      <c r="B14" s="15" t="s">
        <v>220</v>
      </c>
      <c r="C14" s="41" t="str">
        <f>VLOOKUP(B14,'Facility Master List'!$A$6:$D$60,3,FALSE)</f>
        <v>Streetlights and traffic signals</v>
      </c>
      <c r="D14" s="106">
        <f>SUMIFS('Central Hudson Data'!$I:$I,'Central Hudson Data'!$B:$B,$B14,'Central Hudson Data'!$O:$O,D$9,'Central Hudson Data'!$H:$H,"E")</f>
        <v>31235</v>
      </c>
      <c r="E14" s="47">
        <f>SUMIFS('Central Hudson Data'!$I:$I,'Central Hudson Data'!$B:$B,$B14,'Central Hudson Data'!$O:$O,E$9,'Central Hudson Data'!$H:$H,"E")</f>
        <v>31114</v>
      </c>
      <c r="F14" s="154">
        <f>SUMIFS('Central Hudson Data'!$I:$I,'Central Hudson Data'!$B:$B,$B14,'Central Hudson Data'!$O:$O,F$9,'Central Hudson Data'!$H:$H,"E")</f>
        <v>29666</v>
      </c>
      <c r="G14" s="154">
        <f>SUMIFS('Central Hudson Data'!$I:$I,'Central Hudson Data'!$B:$B,$B14,'Central Hudson Data'!$O:$O,G$9,'Central Hudson Data'!$H:$H,"E")</f>
        <v>29853</v>
      </c>
      <c r="H14" s="155">
        <f>SUMIFS('Central Hudson Data'!$I:$I,'Central Hudson Data'!$B:$B,$B14,'Central Hudson Data'!$O:$O,H$9,'Central Hudson Data'!$H:$H,"E")</f>
        <v>0</v>
      </c>
      <c r="I14" s="42">
        <f>SUMIFS('Central Hudson Data'!$I:$I,'Central Hudson Data'!$B:$B,$B14,'Central Hudson Data'!$O:$O,I$9,'Central Hudson Data'!$H:$H,"G")</f>
        <v>0</v>
      </c>
      <c r="J14" s="42">
        <f>SUMIFS('Central Hudson Data'!$I:$I,'Central Hudson Data'!$B:$B,$B14,'Central Hudson Data'!$O:$O,J$9,'Central Hudson Data'!$H:$H,"G")</f>
        <v>0</v>
      </c>
      <c r="K14" s="42">
        <f>SUMIFS('Central Hudson Data'!$I:$I,'Central Hudson Data'!$B:$B,$B14,'Central Hudson Data'!$O:$O,K$9,'Central Hudson Data'!$H:$H,"G")</f>
        <v>0</v>
      </c>
      <c r="L14" s="42">
        <f>SUMIFS('Central Hudson Data'!$I:$I,'Central Hudson Data'!$B:$B,$B14,'Central Hudson Data'!$O:$O,L$9,'Central Hudson Data'!$H:$H,"G")</f>
        <v>0</v>
      </c>
      <c r="M14" s="42">
        <f>SUMIFS('Central Hudson Data'!$I:$I,'Central Hudson Data'!$B:$B,$B14,'Central Hudson Data'!$O:$O,M$9,'Central Hudson Data'!$H:$H,"G")</f>
        <v>0</v>
      </c>
      <c r="N14" s="42">
        <f>SUMIFS('Tank.Other.Fuels'!$F:$F,'Tank.Other.Fuels'!$B:$B,$B14,'Tank.Other.Fuels'!$D:$D,$N$8,'Tank.Other.Fuels'!$E:$E,N$9)</f>
        <v>0</v>
      </c>
      <c r="O14" s="42">
        <f>SUMIFS('Tank.Other.Fuels'!$F:$F,'Tank.Other.Fuels'!$B:$B,$B14,'Tank.Other.Fuels'!$D:$D,$N$8,'Tank.Other.Fuels'!$E:$E,O$9)</f>
        <v>0</v>
      </c>
      <c r="P14" s="42">
        <f>SUMIFS('Tank.Other.Fuels'!$F:$F,'Tank.Other.Fuels'!$B:$B,$B14,'Tank.Other.Fuels'!$D:$D,$N$8,'Tank.Other.Fuels'!$E:$E,P$9)</f>
        <v>0</v>
      </c>
      <c r="Q14" s="42">
        <f>SUMIFS('Tank.Other.Fuels'!$F:$F,'Tank.Other.Fuels'!$B:$B,$B14,'Tank.Other.Fuels'!$D:$D,$N$8,'Tank.Other.Fuels'!$E:$E,Q$9)</f>
        <v>0</v>
      </c>
      <c r="R14" s="42">
        <f>SUMIFS('Tank.Other.Fuels'!$F:$F,'Tank.Other.Fuels'!$B:$B,$B14,'Tank.Other.Fuels'!$D:$D,$N$8,'Tank.Other.Fuels'!$E:$E,R$9)</f>
        <v>0</v>
      </c>
      <c r="S14" s="42">
        <f>SUMIFS('Tank.Other.Fuels'!$F:$F,'Tank.Other.Fuels'!$B:$B,$B14,'Tank.Other.Fuels'!$D:$D,$S$8,'Tank.Other.Fuels'!$E:$E,S$9)</f>
        <v>0</v>
      </c>
      <c r="T14" s="42">
        <f>SUMIFS('Tank.Other.Fuels'!$F:$F,'Tank.Other.Fuels'!$B:$B,$B14,'Tank.Other.Fuels'!$D:$D,$S$8,'Tank.Other.Fuels'!$E:$E,T$9)</f>
        <v>0</v>
      </c>
      <c r="U14" s="42">
        <f>SUMIFS('Tank.Other.Fuels'!$F:$F,'Tank.Other.Fuels'!$B:$B,$B14,'Tank.Other.Fuels'!$D:$D,$S$8,'Tank.Other.Fuels'!$E:$E,U$9)</f>
        <v>0</v>
      </c>
      <c r="V14" s="42">
        <f>SUMIFS('Tank.Other.Fuels'!$F:$F,'Tank.Other.Fuels'!$B:$B,$B14,'Tank.Other.Fuels'!$D:$D,$S$8,'Tank.Other.Fuels'!$E:$E,V$9)</f>
        <v>0</v>
      </c>
      <c r="W14" s="42">
        <f>SUMIFS('Tank.Other.Fuels'!$F:$F,'Tank.Other.Fuels'!$B:$B,$B14,'Tank.Other.Fuels'!$D:$D,$S$8,'Tank.Other.Fuels'!$E:$E,W$9)</f>
        <v>0</v>
      </c>
      <c r="X14" s="156">
        <f>D14/1000*'Factors and Sources'!$C$6/1000</f>
        <v>4.1929239300000001</v>
      </c>
      <c r="Y14" s="157">
        <f>E14/1000*'Factors and Sources'!$C$6/1000</f>
        <v>4.1766811319999997</v>
      </c>
      <c r="Z14" s="157">
        <f>F14/1000*'Factors and Sources'!$C$6/1000</f>
        <v>3.9823045080000004</v>
      </c>
      <c r="AA14" s="157">
        <f>G14/1000*'Factors and Sources'!$C$6/1000</f>
        <v>4.007407014</v>
      </c>
      <c r="AB14" s="157">
        <f>H14/1000*'Factors and Sources'!$C$6/1000</f>
        <v>0</v>
      </c>
      <c r="AC14" s="43">
        <f>I14/10*'Factors and Sources'!$C$7/1000</f>
        <v>0</v>
      </c>
      <c r="AD14" s="43">
        <f>J14/10*'Factors and Sources'!$C$7/1000</f>
        <v>0</v>
      </c>
      <c r="AE14" s="43">
        <f>K14/10*'Factors and Sources'!$C$7/1000</f>
        <v>0</v>
      </c>
      <c r="AF14" s="43">
        <f>L14/10*'Factors and Sources'!$C$7/1000</f>
        <v>0</v>
      </c>
      <c r="AG14" s="43">
        <f>M14/10*'Factors and Sources'!$C$7/1000</f>
        <v>0</v>
      </c>
      <c r="AH14" s="43">
        <f>N14*'Factors and Sources'!$C$8/1000</f>
        <v>0</v>
      </c>
      <c r="AI14" s="43">
        <f>O14*'Factors and Sources'!$C$8/1000</f>
        <v>0</v>
      </c>
      <c r="AJ14" s="43">
        <f>P14*'Factors and Sources'!$C$8/1000</f>
        <v>0</v>
      </c>
      <c r="AK14" s="43">
        <f>Q14*'Factors and Sources'!$C$8/1000</f>
        <v>0</v>
      </c>
      <c r="AL14" s="43">
        <f>R14*'Factors and Sources'!$C$8/1000</f>
        <v>0</v>
      </c>
      <c r="AM14" s="43">
        <f>S14*'Factors and Sources'!$C$9/1000</f>
        <v>0</v>
      </c>
      <c r="AN14" s="43">
        <f>T14*'Factors and Sources'!$C$9/1000</f>
        <v>0</v>
      </c>
      <c r="AO14" s="43">
        <f>U14*'Factors and Sources'!$C$9/1000</f>
        <v>0</v>
      </c>
      <c r="AP14" s="43">
        <f>V14*'Factors and Sources'!$C$9/1000</f>
        <v>0</v>
      </c>
      <c r="AQ14" s="43">
        <f>W14*'Factors and Sources'!$C$9/1000</f>
        <v>0</v>
      </c>
      <c r="AR14" s="43">
        <f t="shared" si="0"/>
        <v>4.1929239300000001</v>
      </c>
      <c r="AS14" s="43">
        <f t="shared" si="1"/>
        <v>4.1766811319999997</v>
      </c>
      <c r="AT14" s="43">
        <f t="shared" si="2"/>
        <v>3.9823045080000004</v>
      </c>
      <c r="AU14" s="43">
        <f t="shared" si="3"/>
        <v>4.007407014</v>
      </c>
      <c r="AV14" s="43">
        <f t="shared" si="4"/>
        <v>0</v>
      </c>
      <c r="AW14" s="158">
        <f t="shared" si="5"/>
        <v>4.0898291459999996</v>
      </c>
      <c r="AX14" s="96">
        <f>SUMIFS('Central Hudson Data'!$N:$N,'Central Hudson Data'!$B:$B,$B14,'Central Hudson Data'!$O:$O,AX$9,'Central Hudson Data'!$H:$H,"E")</f>
        <v>6907.1599999999989</v>
      </c>
      <c r="AY14" s="159">
        <f>SUMIFS('Central Hudson Data'!$N:$N,'Central Hudson Data'!$B:$B,$B14,'Central Hudson Data'!$O:$O,AY$9,'Central Hudson Data'!$H:$H,"E")</f>
        <v>6719.49</v>
      </c>
      <c r="AZ14" s="159">
        <f>SUMIFS('Central Hudson Data'!$N:$N,'Central Hudson Data'!$B:$B,$B14,'Central Hudson Data'!$O:$O,AZ$9,'Central Hudson Data'!$H:$H,"E")</f>
        <v>6916.7699999999986</v>
      </c>
      <c r="BA14" s="159">
        <f>SUMIFS('Central Hudson Data'!$N:$N,'Central Hudson Data'!$B:$B,$B14,'Central Hudson Data'!$O:$O,BA$9,'Central Hudson Data'!$H:$H,"E")</f>
        <v>7232.3</v>
      </c>
      <c r="BB14" s="159">
        <f>SUMIFS('Central Hudson Data'!$N:$N,'Central Hudson Data'!$B:$B,$B14,'Central Hudson Data'!$O:$O,BB$9,'Central Hudson Data'!$H:$H,"E")</f>
        <v>0</v>
      </c>
      <c r="BC14" s="44">
        <f>SUMIFS('Central Hudson Data'!$N:$N,'Central Hudson Data'!$B:$B,$B14,'Central Hudson Data'!$O:$O,BC$9,'Central Hudson Data'!$H:$H,"G")</f>
        <v>0</v>
      </c>
      <c r="BD14" s="44">
        <f>SUMIFS('Central Hudson Data'!$N:$N,'Central Hudson Data'!$B:$B,$B14,'Central Hudson Data'!$O:$O,BD$9,'Central Hudson Data'!$H:$H,"G")</f>
        <v>0</v>
      </c>
      <c r="BE14" s="44">
        <f>SUMIFS('Central Hudson Data'!$N:$N,'Central Hudson Data'!$B:$B,$B14,'Central Hudson Data'!$O:$O,BE$9,'Central Hudson Data'!$H:$H,"G")</f>
        <v>0</v>
      </c>
      <c r="BF14" s="44">
        <f>SUMIFS('Central Hudson Data'!$N:$N,'Central Hudson Data'!$B:$B,$B14,'Central Hudson Data'!$O:$O,BF$9,'Central Hudson Data'!$H:$H,"G")</f>
        <v>0</v>
      </c>
      <c r="BG14" s="44">
        <f>SUMIFS('Central Hudson Data'!$N:$N,'Central Hudson Data'!$B:$B,$B14,'Central Hudson Data'!$O:$O,BG$9,'Central Hudson Data'!$H:$H,"G")</f>
        <v>0</v>
      </c>
      <c r="BH14" s="45">
        <f>SUMIFS('Tank.Other.Fuels'!$G:$G,'Tank.Other.Fuels'!$B:$B,$B14,'Tank.Other.Fuels'!$D:$D,$BH$8,'Tank.Other.Fuels'!$E:$E,BH$9)</f>
        <v>0</v>
      </c>
      <c r="BI14" s="45">
        <f>SUMIFS('Tank.Other.Fuels'!$G:$G,'Tank.Other.Fuels'!$B:$B,$B14,'Tank.Other.Fuels'!$D:$D,$BH$8,'Tank.Other.Fuels'!$E:$E,BI$9)</f>
        <v>0</v>
      </c>
      <c r="BJ14" s="45">
        <f>SUMIFS('Tank.Other.Fuels'!$G:$G,'Tank.Other.Fuels'!$B:$B,$B14,'Tank.Other.Fuels'!$D:$D,$BH$8,'Tank.Other.Fuels'!$E:$E,BJ$9)</f>
        <v>0</v>
      </c>
      <c r="BK14" s="45">
        <f>SUMIFS('Tank.Other.Fuels'!$G:$G,'Tank.Other.Fuels'!$B:$B,$B14,'Tank.Other.Fuels'!$D:$D,$BH$8,'Tank.Other.Fuels'!$E:$E,BK$9)</f>
        <v>0</v>
      </c>
      <c r="BL14" s="45">
        <f>SUMIFS('Tank.Other.Fuels'!$G:$G,'Tank.Other.Fuels'!$B:$B,$B14,'Tank.Other.Fuels'!$D:$D,$BH$8,'Tank.Other.Fuels'!$E:$E,BL$9)</f>
        <v>0</v>
      </c>
      <c r="BM14" s="45">
        <f>SUMIFS('Tank.Other.Fuels'!$G:$G,'Tank.Other.Fuels'!$B:$B,$B14,'Tank.Other.Fuels'!$D:$D,$BM$8,'Tank.Other.Fuels'!$E:$E,BM$9)</f>
        <v>0</v>
      </c>
      <c r="BN14" s="45">
        <f>SUMIFS('Tank.Other.Fuels'!$G:$G,'Tank.Other.Fuels'!$B:$B,$B14,'Tank.Other.Fuels'!$D:$D,$BM$8,'Tank.Other.Fuels'!$E:$E,BN$9)</f>
        <v>0</v>
      </c>
      <c r="BO14" s="45">
        <f>SUMIFS('Tank.Other.Fuels'!$G:$G,'Tank.Other.Fuels'!$B:$B,$B14,'Tank.Other.Fuels'!$D:$D,$BM$8,'Tank.Other.Fuels'!$E:$E,BO$9)</f>
        <v>0</v>
      </c>
      <c r="BP14" s="45">
        <f>SUMIFS('Tank.Other.Fuels'!$G:$G,'Tank.Other.Fuels'!$B:$B,$B14,'Tank.Other.Fuels'!$D:$D,$BM$8,'Tank.Other.Fuels'!$E:$E,BP$9)</f>
        <v>0</v>
      </c>
      <c r="BQ14" s="45">
        <f>SUMIFS('Tank.Other.Fuels'!$G:$G,'Tank.Other.Fuels'!$B:$B,$B14,'Tank.Other.Fuels'!$D:$D,$BM$8,'Tank.Other.Fuels'!$E:$E,BQ$9)</f>
        <v>0</v>
      </c>
      <c r="BR14" s="46">
        <f t="shared" si="6"/>
        <v>6907.1599999999989</v>
      </c>
      <c r="BS14" s="46">
        <f t="shared" si="7"/>
        <v>6719.49</v>
      </c>
      <c r="BT14" s="46">
        <f t="shared" si="8"/>
        <v>6916.7699999999986</v>
      </c>
      <c r="BU14" s="46">
        <f t="shared" si="9"/>
        <v>7232.3</v>
      </c>
      <c r="BV14" s="46">
        <f t="shared" si="10"/>
        <v>0</v>
      </c>
      <c r="BW14" s="63">
        <f t="shared" si="11"/>
        <v>6943.9299999999994</v>
      </c>
    </row>
    <row r="15" spans="1:75" x14ac:dyDescent="0.25">
      <c r="B15" s="15" t="s">
        <v>221</v>
      </c>
      <c r="C15" s="41" t="str">
        <f>VLOOKUP(B15,'Facility Master List'!$A$6:$D$60,3,FALSE)</f>
        <v>Streetlights and traffic signals</v>
      </c>
      <c r="D15" s="106">
        <f>SUMIFS('Central Hudson Data'!$I:$I,'Central Hudson Data'!$B:$B,$B15,'Central Hudson Data'!$O:$O,D$9,'Central Hudson Data'!$H:$H,"E")</f>
        <v>10315</v>
      </c>
      <c r="E15" s="47">
        <f>SUMIFS('Central Hudson Data'!$I:$I,'Central Hudson Data'!$B:$B,$B15,'Central Hudson Data'!$O:$O,E$9,'Central Hudson Data'!$H:$H,"E")</f>
        <v>9961</v>
      </c>
      <c r="F15" s="154">
        <f>SUMIFS('Central Hudson Data'!$I:$I,'Central Hudson Data'!$B:$B,$B15,'Central Hudson Data'!$O:$O,F$9,'Central Hudson Data'!$H:$H,"E")</f>
        <v>9953</v>
      </c>
      <c r="G15" s="154">
        <f>SUMIFS('Central Hudson Data'!$I:$I,'Central Hudson Data'!$B:$B,$B15,'Central Hudson Data'!$O:$O,G$9,'Central Hudson Data'!$H:$H,"E")</f>
        <v>9902</v>
      </c>
      <c r="H15" s="155">
        <f>SUMIFS('Central Hudson Data'!$I:$I,'Central Hudson Data'!$B:$B,$B15,'Central Hudson Data'!$O:$O,H$9,'Central Hudson Data'!$H:$H,"E")</f>
        <v>0</v>
      </c>
      <c r="I15" s="42">
        <f>SUMIFS('Central Hudson Data'!$I:$I,'Central Hudson Data'!$B:$B,$B15,'Central Hudson Data'!$O:$O,I$9,'Central Hudson Data'!$H:$H,"G")</f>
        <v>0</v>
      </c>
      <c r="J15" s="42">
        <f>SUMIFS('Central Hudson Data'!$I:$I,'Central Hudson Data'!$B:$B,$B15,'Central Hudson Data'!$O:$O,J$9,'Central Hudson Data'!$H:$H,"G")</f>
        <v>0</v>
      </c>
      <c r="K15" s="42">
        <f>SUMIFS('Central Hudson Data'!$I:$I,'Central Hudson Data'!$B:$B,$B15,'Central Hudson Data'!$O:$O,K$9,'Central Hudson Data'!$H:$H,"G")</f>
        <v>0</v>
      </c>
      <c r="L15" s="42">
        <f>SUMIFS('Central Hudson Data'!$I:$I,'Central Hudson Data'!$B:$B,$B15,'Central Hudson Data'!$O:$O,L$9,'Central Hudson Data'!$H:$H,"G")</f>
        <v>0</v>
      </c>
      <c r="M15" s="42">
        <f>SUMIFS('Central Hudson Data'!$I:$I,'Central Hudson Data'!$B:$B,$B15,'Central Hudson Data'!$O:$O,M$9,'Central Hudson Data'!$H:$H,"G")</f>
        <v>0</v>
      </c>
      <c r="N15" s="42">
        <f>SUMIFS('Tank.Other.Fuels'!$F:$F,'Tank.Other.Fuels'!$B:$B,$B15,'Tank.Other.Fuels'!$D:$D,$N$8,'Tank.Other.Fuels'!$E:$E,N$9)</f>
        <v>0</v>
      </c>
      <c r="O15" s="42">
        <f>SUMIFS('Tank.Other.Fuels'!$F:$F,'Tank.Other.Fuels'!$B:$B,$B15,'Tank.Other.Fuels'!$D:$D,$N$8,'Tank.Other.Fuels'!$E:$E,O$9)</f>
        <v>0</v>
      </c>
      <c r="P15" s="42">
        <f>SUMIFS('Tank.Other.Fuels'!$F:$F,'Tank.Other.Fuels'!$B:$B,$B15,'Tank.Other.Fuels'!$D:$D,$N$8,'Tank.Other.Fuels'!$E:$E,P$9)</f>
        <v>0</v>
      </c>
      <c r="Q15" s="42">
        <f>SUMIFS('Tank.Other.Fuels'!$F:$F,'Tank.Other.Fuels'!$B:$B,$B15,'Tank.Other.Fuels'!$D:$D,$N$8,'Tank.Other.Fuels'!$E:$E,Q$9)</f>
        <v>0</v>
      </c>
      <c r="R15" s="42">
        <f>SUMIFS('Tank.Other.Fuels'!$F:$F,'Tank.Other.Fuels'!$B:$B,$B15,'Tank.Other.Fuels'!$D:$D,$N$8,'Tank.Other.Fuels'!$E:$E,R$9)</f>
        <v>0</v>
      </c>
      <c r="S15" s="42">
        <f>SUMIFS('Tank.Other.Fuels'!$F:$F,'Tank.Other.Fuels'!$B:$B,$B15,'Tank.Other.Fuels'!$D:$D,$S$8,'Tank.Other.Fuels'!$E:$E,S$9)</f>
        <v>0</v>
      </c>
      <c r="T15" s="42">
        <f>SUMIFS('Tank.Other.Fuels'!$F:$F,'Tank.Other.Fuels'!$B:$B,$B15,'Tank.Other.Fuels'!$D:$D,$S$8,'Tank.Other.Fuels'!$E:$E,T$9)</f>
        <v>0</v>
      </c>
      <c r="U15" s="42">
        <f>SUMIFS('Tank.Other.Fuels'!$F:$F,'Tank.Other.Fuels'!$B:$B,$B15,'Tank.Other.Fuels'!$D:$D,$S$8,'Tank.Other.Fuels'!$E:$E,U$9)</f>
        <v>0</v>
      </c>
      <c r="V15" s="42">
        <f>SUMIFS('Tank.Other.Fuels'!$F:$F,'Tank.Other.Fuels'!$B:$B,$B15,'Tank.Other.Fuels'!$D:$D,$S$8,'Tank.Other.Fuels'!$E:$E,V$9)</f>
        <v>0</v>
      </c>
      <c r="W15" s="42">
        <f>SUMIFS('Tank.Other.Fuels'!$F:$F,'Tank.Other.Fuels'!$B:$B,$B15,'Tank.Other.Fuels'!$D:$D,$S$8,'Tank.Other.Fuels'!$E:$E,W$9)</f>
        <v>0</v>
      </c>
      <c r="X15" s="156">
        <f>D15/1000*'Factors and Sources'!$C$6/1000</f>
        <v>1.38466497</v>
      </c>
      <c r="Y15" s="157">
        <f>E15/1000*'Factors and Sources'!$C$6/1000</f>
        <v>1.337144718</v>
      </c>
      <c r="Z15" s="157">
        <f>F15/1000*'Factors and Sources'!$C$6/1000</f>
        <v>1.3360708139999999</v>
      </c>
      <c r="AA15" s="157">
        <f>G15/1000*'Factors and Sources'!$C$6/1000</f>
        <v>1.3292246759999997</v>
      </c>
      <c r="AB15" s="157">
        <f>H15/1000*'Factors and Sources'!$C$6/1000</f>
        <v>0</v>
      </c>
      <c r="AC15" s="43">
        <f>I15/10*'Factors and Sources'!$C$7/1000</f>
        <v>0</v>
      </c>
      <c r="AD15" s="43">
        <f>J15/10*'Factors and Sources'!$C$7/1000</f>
        <v>0</v>
      </c>
      <c r="AE15" s="43">
        <f>K15/10*'Factors and Sources'!$C$7/1000</f>
        <v>0</v>
      </c>
      <c r="AF15" s="43">
        <f>L15/10*'Factors and Sources'!$C$7/1000</f>
        <v>0</v>
      </c>
      <c r="AG15" s="43">
        <f>M15/10*'Factors and Sources'!$C$7/1000</f>
        <v>0</v>
      </c>
      <c r="AH15" s="43">
        <f>N15*'Factors and Sources'!$C$8/1000</f>
        <v>0</v>
      </c>
      <c r="AI15" s="43">
        <f>O15*'Factors and Sources'!$C$8/1000</f>
        <v>0</v>
      </c>
      <c r="AJ15" s="43">
        <f>P15*'Factors and Sources'!$C$8/1000</f>
        <v>0</v>
      </c>
      <c r="AK15" s="43">
        <f>Q15*'Factors and Sources'!$C$8/1000</f>
        <v>0</v>
      </c>
      <c r="AL15" s="43">
        <f>R15*'Factors and Sources'!$C$8/1000</f>
        <v>0</v>
      </c>
      <c r="AM15" s="43">
        <f>S15*'Factors and Sources'!$C$9/1000</f>
        <v>0</v>
      </c>
      <c r="AN15" s="43">
        <f>T15*'Factors and Sources'!$C$9/1000</f>
        <v>0</v>
      </c>
      <c r="AO15" s="43">
        <f>U15*'Factors and Sources'!$C$9/1000</f>
        <v>0</v>
      </c>
      <c r="AP15" s="43">
        <f>V15*'Factors and Sources'!$C$9/1000</f>
        <v>0</v>
      </c>
      <c r="AQ15" s="43">
        <f>W15*'Factors and Sources'!$C$9/1000</f>
        <v>0</v>
      </c>
      <c r="AR15" s="43">
        <f t="shared" si="0"/>
        <v>1.38466497</v>
      </c>
      <c r="AS15" s="43">
        <f t="shared" si="1"/>
        <v>1.337144718</v>
      </c>
      <c r="AT15" s="43">
        <f t="shared" si="2"/>
        <v>1.3360708139999999</v>
      </c>
      <c r="AU15" s="43">
        <f t="shared" si="3"/>
        <v>1.3292246759999997</v>
      </c>
      <c r="AV15" s="43">
        <f t="shared" si="4"/>
        <v>0</v>
      </c>
      <c r="AW15" s="158">
        <f t="shared" si="5"/>
        <v>1.3467762944999999</v>
      </c>
      <c r="AX15" s="96">
        <f>SUMIFS('Central Hudson Data'!$N:$N,'Central Hudson Data'!$B:$B,$B15,'Central Hudson Data'!$O:$O,AX$9,'Central Hudson Data'!$H:$H,"E")</f>
        <v>3980.1999999999994</v>
      </c>
      <c r="AY15" s="159">
        <f>SUMIFS('Central Hudson Data'!$N:$N,'Central Hudson Data'!$B:$B,$B15,'Central Hudson Data'!$O:$O,AY$9,'Central Hudson Data'!$H:$H,"E")</f>
        <v>4013.89</v>
      </c>
      <c r="AZ15" s="159">
        <f>SUMIFS('Central Hudson Data'!$N:$N,'Central Hudson Data'!$B:$B,$B15,'Central Hudson Data'!$O:$O,AZ$9,'Central Hudson Data'!$H:$H,"E")</f>
        <v>4203.59</v>
      </c>
      <c r="BA15" s="159">
        <f>SUMIFS('Central Hudson Data'!$N:$N,'Central Hudson Data'!$B:$B,$B15,'Central Hudson Data'!$O:$O,BA$9,'Central Hudson Data'!$H:$H,"E")</f>
        <v>4365.93</v>
      </c>
      <c r="BB15" s="159">
        <f>SUMIFS('Central Hudson Data'!$N:$N,'Central Hudson Data'!$B:$B,$B15,'Central Hudson Data'!$O:$O,BB$9,'Central Hudson Data'!$H:$H,"E")</f>
        <v>0</v>
      </c>
      <c r="BC15" s="159">
        <f>SUMIFS('Central Hudson Data'!$N:$N,'Central Hudson Data'!$B:$B,$B15,'Central Hudson Data'!$O:$O,BC$9,'Central Hudson Data'!$H:$H,"G")</f>
        <v>0</v>
      </c>
      <c r="BD15" s="159">
        <f>SUMIFS('Central Hudson Data'!$N:$N,'Central Hudson Data'!$B:$B,$B15,'Central Hudson Data'!$O:$O,BD$9,'Central Hudson Data'!$H:$H,"G")</f>
        <v>0</v>
      </c>
      <c r="BE15" s="159">
        <f>SUMIFS('Central Hudson Data'!$N:$N,'Central Hudson Data'!$B:$B,$B15,'Central Hudson Data'!$O:$O,BE$9,'Central Hudson Data'!$H:$H,"G")</f>
        <v>0</v>
      </c>
      <c r="BF15" s="159">
        <f>SUMIFS('Central Hudson Data'!$N:$N,'Central Hudson Data'!$B:$B,$B15,'Central Hudson Data'!$O:$O,BF$9,'Central Hudson Data'!$H:$H,"G")</f>
        <v>0</v>
      </c>
      <c r="BG15" s="159">
        <f>SUMIFS('Central Hudson Data'!$N:$N,'Central Hudson Data'!$B:$B,$B15,'Central Hudson Data'!$O:$O,BG$9,'Central Hudson Data'!$H:$H,"G")</f>
        <v>0</v>
      </c>
      <c r="BH15" s="45">
        <f>SUMIFS('Tank.Other.Fuels'!$G:$G,'Tank.Other.Fuels'!$B:$B,$B15,'Tank.Other.Fuels'!$D:$D,$BH$8,'Tank.Other.Fuels'!$E:$E,BH$9)</f>
        <v>0</v>
      </c>
      <c r="BI15" s="45">
        <f>SUMIFS('Tank.Other.Fuels'!$G:$G,'Tank.Other.Fuels'!$B:$B,$B15,'Tank.Other.Fuels'!$D:$D,$BH$8,'Tank.Other.Fuels'!$E:$E,BI$9)</f>
        <v>0</v>
      </c>
      <c r="BJ15" s="45">
        <f>SUMIFS('Tank.Other.Fuels'!$G:$G,'Tank.Other.Fuels'!$B:$B,$B15,'Tank.Other.Fuels'!$D:$D,$BH$8,'Tank.Other.Fuels'!$E:$E,BJ$9)</f>
        <v>0</v>
      </c>
      <c r="BK15" s="45">
        <f>SUMIFS('Tank.Other.Fuels'!$G:$G,'Tank.Other.Fuels'!$B:$B,$B15,'Tank.Other.Fuels'!$D:$D,$BH$8,'Tank.Other.Fuels'!$E:$E,BK$9)</f>
        <v>0</v>
      </c>
      <c r="BL15" s="45">
        <f>SUMIFS('Tank.Other.Fuels'!$G:$G,'Tank.Other.Fuels'!$B:$B,$B15,'Tank.Other.Fuels'!$D:$D,$BH$8,'Tank.Other.Fuels'!$E:$E,BL$9)</f>
        <v>0</v>
      </c>
      <c r="BM15" s="45">
        <f>SUMIFS('Tank.Other.Fuels'!$G:$G,'Tank.Other.Fuels'!$B:$B,$B15,'Tank.Other.Fuels'!$D:$D,$BM$8,'Tank.Other.Fuels'!$E:$E,BM$9)</f>
        <v>0</v>
      </c>
      <c r="BN15" s="45">
        <f>SUMIFS('Tank.Other.Fuels'!$G:$G,'Tank.Other.Fuels'!$B:$B,$B15,'Tank.Other.Fuels'!$D:$D,$BM$8,'Tank.Other.Fuels'!$E:$E,BN$9)</f>
        <v>0</v>
      </c>
      <c r="BO15" s="45">
        <f>SUMIFS('Tank.Other.Fuels'!$G:$G,'Tank.Other.Fuels'!$B:$B,$B15,'Tank.Other.Fuels'!$D:$D,$BM$8,'Tank.Other.Fuels'!$E:$E,BO$9)</f>
        <v>0</v>
      </c>
      <c r="BP15" s="45">
        <f>SUMIFS('Tank.Other.Fuels'!$G:$G,'Tank.Other.Fuels'!$B:$B,$B15,'Tank.Other.Fuels'!$D:$D,$BM$8,'Tank.Other.Fuels'!$E:$E,BP$9)</f>
        <v>0</v>
      </c>
      <c r="BQ15" s="45">
        <f>SUMIFS('Tank.Other.Fuels'!$G:$G,'Tank.Other.Fuels'!$B:$B,$B15,'Tank.Other.Fuels'!$D:$D,$BM$8,'Tank.Other.Fuels'!$E:$E,BQ$9)</f>
        <v>0</v>
      </c>
      <c r="BR15" s="46">
        <f t="shared" si="6"/>
        <v>3980.1999999999994</v>
      </c>
      <c r="BS15" s="46">
        <f t="shared" si="7"/>
        <v>4013.89</v>
      </c>
      <c r="BT15" s="46">
        <f t="shared" si="8"/>
        <v>4203.59</v>
      </c>
      <c r="BU15" s="46">
        <f t="shared" si="9"/>
        <v>4365.93</v>
      </c>
      <c r="BV15" s="46">
        <f t="shared" si="10"/>
        <v>0</v>
      </c>
      <c r="BW15" s="63">
        <f t="shared" si="11"/>
        <v>4140.9025000000001</v>
      </c>
    </row>
    <row r="16" spans="1:75" x14ac:dyDescent="0.25">
      <c r="B16" s="15" t="s">
        <v>222</v>
      </c>
      <c r="C16" s="41" t="str">
        <f>VLOOKUP(B16,'Facility Master List'!$A$6:$D$60,3,FALSE)</f>
        <v>Solid waste facilities</v>
      </c>
      <c r="D16" s="106">
        <f>SUMIFS('Central Hudson Data'!$I:$I,'Central Hudson Data'!$B:$B,$B16,'Central Hudson Data'!$O:$O,D$9,'Central Hudson Data'!$H:$H,"E")</f>
        <v>4352</v>
      </c>
      <c r="E16" s="47">
        <f>SUMIFS('Central Hudson Data'!$I:$I,'Central Hudson Data'!$B:$B,$B16,'Central Hudson Data'!$O:$O,E$9,'Central Hudson Data'!$H:$H,"E")</f>
        <v>3897</v>
      </c>
      <c r="F16" s="154">
        <f>SUMIFS('Central Hudson Data'!$I:$I,'Central Hudson Data'!$B:$B,$B16,'Central Hudson Data'!$O:$O,F$9,'Central Hudson Data'!$H:$H,"E")</f>
        <v>5687</v>
      </c>
      <c r="G16" s="154">
        <f>SUMIFS('Central Hudson Data'!$I:$I,'Central Hudson Data'!$B:$B,$B16,'Central Hudson Data'!$O:$O,G$9,'Central Hudson Data'!$H:$H,"E")</f>
        <v>7124</v>
      </c>
      <c r="H16" s="155">
        <f>SUMIFS('Central Hudson Data'!$I:$I,'Central Hudson Data'!$B:$B,$B16,'Central Hudson Data'!$O:$O,H$9,'Central Hudson Data'!$H:$H,"E")</f>
        <v>0</v>
      </c>
      <c r="I16" s="42">
        <f>SUMIFS('Central Hudson Data'!$I:$I,'Central Hudson Data'!$B:$B,$B16,'Central Hudson Data'!$O:$O,I$9,'Central Hudson Data'!$H:$H,"G")</f>
        <v>0</v>
      </c>
      <c r="J16" s="42">
        <f>SUMIFS('Central Hudson Data'!$I:$I,'Central Hudson Data'!$B:$B,$B16,'Central Hudson Data'!$O:$O,J$9,'Central Hudson Data'!$H:$H,"G")</f>
        <v>0</v>
      </c>
      <c r="K16" s="42">
        <f>SUMIFS('Central Hudson Data'!$I:$I,'Central Hudson Data'!$B:$B,$B16,'Central Hudson Data'!$O:$O,K$9,'Central Hudson Data'!$H:$H,"G")</f>
        <v>0</v>
      </c>
      <c r="L16" s="42">
        <f>SUMIFS('Central Hudson Data'!$I:$I,'Central Hudson Data'!$B:$B,$B16,'Central Hudson Data'!$O:$O,L$9,'Central Hudson Data'!$H:$H,"G")</f>
        <v>0</v>
      </c>
      <c r="M16" s="42">
        <f>SUMIFS('Central Hudson Data'!$I:$I,'Central Hudson Data'!$B:$B,$B16,'Central Hudson Data'!$O:$O,M$9,'Central Hudson Data'!$H:$H,"G")</f>
        <v>0</v>
      </c>
      <c r="N16" s="42">
        <f>SUMIFS('Tank.Other.Fuels'!$F:$F,'Tank.Other.Fuels'!$B:$B,$B16,'Tank.Other.Fuels'!$D:$D,$N$8,'Tank.Other.Fuels'!$E:$E,N$9)</f>
        <v>0</v>
      </c>
      <c r="O16" s="42">
        <f>SUMIFS('Tank.Other.Fuels'!$F:$F,'Tank.Other.Fuels'!$B:$B,$B16,'Tank.Other.Fuels'!$D:$D,$N$8,'Tank.Other.Fuels'!$E:$E,O$9)</f>
        <v>0</v>
      </c>
      <c r="P16" s="42">
        <f>SUMIFS('Tank.Other.Fuels'!$F:$F,'Tank.Other.Fuels'!$B:$B,$B16,'Tank.Other.Fuels'!$D:$D,$N$8,'Tank.Other.Fuels'!$E:$E,P$9)</f>
        <v>0</v>
      </c>
      <c r="Q16" s="42">
        <f>SUMIFS('Tank.Other.Fuels'!$F:$F,'Tank.Other.Fuels'!$B:$B,$B16,'Tank.Other.Fuels'!$D:$D,$N$8,'Tank.Other.Fuels'!$E:$E,Q$9)</f>
        <v>0</v>
      </c>
      <c r="R16" s="42">
        <f>SUMIFS('Tank.Other.Fuels'!$F:$F,'Tank.Other.Fuels'!$B:$B,$B16,'Tank.Other.Fuels'!$D:$D,$N$8,'Tank.Other.Fuels'!$E:$E,R$9)</f>
        <v>0</v>
      </c>
      <c r="S16" s="42">
        <f>SUMIFS('Tank.Other.Fuels'!$F:$F,'Tank.Other.Fuels'!$B:$B,$B16,'Tank.Other.Fuels'!$D:$D,$S$8,'Tank.Other.Fuels'!$E:$E,S$9)</f>
        <v>0</v>
      </c>
      <c r="T16" s="42">
        <f>SUMIFS('Tank.Other.Fuels'!$F:$F,'Tank.Other.Fuels'!$B:$B,$B16,'Tank.Other.Fuels'!$D:$D,$S$8,'Tank.Other.Fuels'!$E:$E,T$9)</f>
        <v>0</v>
      </c>
      <c r="U16" s="42">
        <f>SUMIFS('Tank.Other.Fuels'!$F:$F,'Tank.Other.Fuels'!$B:$B,$B16,'Tank.Other.Fuels'!$D:$D,$S$8,'Tank.Other.Fuels'!$E:$E,U$9)</f>
        <v>0</v>
      </c>
      <c r="V16" s="42">
        <f>SUMIFS('Tank.Other.Fuels'!$F:$F,'Tank.Other.Fuels'!$B:$B,$B16,'Tank.Other.Fuels'!$D:$D,$S$8,'Tank.Other.Fuels'!$E:$E,V$9)</f>
        <v>0</v>
      </c>
      <c r="W16" s="42">
        <f>SUMIFS('Tank.Other.Fuels'!$F:$F,'Tank.Other.Fuels'!$B:$B,$B16,'Tank.Other.Fuels'!$D:$D,$S$8,'Tank.Other.Fuels'!$E:$E,W$9)</f>
        <v>0</v>
      </c>
      <c r="X16" s="156">
        <f>D16/1000*'Factors and Sources'!$C$6/1000</f>
        <v>0.58420377600000006</v>
      </c>
      <c r="Y16" s="157">
        <f>E16/1000*'Factors and Sources'!$C$6/1000</f>
        <v>0.52312548599999997</v>
      </c>
      <c r="Z16" s="157">
        <f>F16/1000*'Factors and Sources'!$C$6/1000</f>
        <v>0.76341150600000007</v>
      </c>
      <c r="AA16" s="157">
        <f>G16/1000*'Factors and Sources'!$C$6/1000</f>
        <v>0.95631151199999997</v>
      </c>
      <c r="AB16" s="157">
        <f>H16/1000*'Factors and Sources'!$C$6/1000</f>
        <v>0</v>
      </c>
      <c r="AC16" s="43">
        <f>I16/10*'Factors and Sources'!$C$7/1000</f>
        <v>0</v>
      </c>
      <c r="AD16" s="43">
        <f>J16/10*'Factors and Sources'!$C$7/1000</f>
        <v>0</v>
      </c>
      <c r="AE16" s="43">
        <f>K16/10*'Factors and Sources'!$C$7/1000</f>
        <v>0</v>
      </c>
      <c r="AF16" s="43">
        <f>L16/10*'Factors and Sources'!$C$7/1000</f>
        <v>0</v>
      </c>
      <c r="AG16" s="43">
        <f>M16/10*'Factors and Sources'!$C$7/1000</f>
        <v>0</v>
      </c>
      <c r="AH16" s="43">
        <f>N16*'Factors and Sources'!$C$8/1000</f>
        <v>0</v>
      </c>
      <c r="AI16" s="43">
        <f>O16*'Factors and Sources'!$C$8/1000</f>
        <v>0</v>
      </c>
      <c r="AJ16" s="43">
        <f>P16*'Factors and Sources'!$C$8/1000</f>
        <v>0</v>
      </c>
      <c r="AK16" s="43">
        <f>Q16*'Factors and Sources'!$C$8/1000</f>
        <v>0</v>
      </c>
      <c r="AL16" s="43">
        <f>R16*'Factors and Sources'!$C$8/1000</f>
        <v>0</v>
      </c>
      <c r="AM16" s="43">
        <f>S16*'Factors and Sources'!$C$9/1000</f>
        <v>0</v>
      </c>
      <c r="AN16" s="43">
        <f>T16*'Factors and Sources'!$C$9/1000</f>
        <v>0</v>
      </c>
      <c r="AO16" s="43">
        <f>U16*'Factors and Sources'!$C$9/1000</f>
        <v>0</v>
      </c>
      <c r="AP16" s="43">
        <f>V16*'Factors and Sources'!$C$9/1000</f>
        <v>0</v>
      </c>
      <c r="AQ16" s="43">
        <f>W16*'Factors and Sources'!$C$9/1000</f>
        <v>0</v>
      </c>
      <c r="AR16" s="43">
        <f t="shared" si="0"/>
        <v>0.58420377600000006</v>
      </c>
      <c r="AS16" s="43">
        <f t="shared" si="1"/>
        <v>0.52312548599999997</v>
      </c>
      <c r="AT16" s="43">
        <f t="shared" si="2"/>
        <v>0.76341150600000007</v>
      </c>
      <c r="AU16" s="43">
        <f t="shared" si="3"/>
        <v>0.95631151199999997</v>
      </c>
      <c r="AV16" s="43">
        <f t="shared" si="4"/>
        <v>0</v>
      </c>
      <c r="AW16" s="158">
        <f t="shared" si="5"/>
        <v>0.70676307000000005</v>
      </c>
      <c r="AX16" s="96">
        <f>SUMIFS('Central Hudson Data'!$N:$N,'Central Hudson Data'!$B:$B,$B16,'Central Hudson Data'!$O:$O,AX$9,'Central Hudson Data'!$H:$H,"E")</f>
        <v>893.41000000000008</v>
      </c>
      <c r="AY16" s="159">
        <f>SUMIFS('Central Hudson Data'!$N:$N,'Central Hudson Data'!$B:$B,$B16,'Central Hudson Data'!$O:$O,AY$9,'Central Hudson Data'!$H:$H,"E")</f>
        <v>789.06</v>
      </c>
      <c r="AZ16" s="159">
        <f>SUMIFS('Central Hudson Data'!$N:$N,'Central Hudson Data'!$B:$B,$B16,'Central Hudson Data'!$O:$O,AZ$9,'Central Hudson Data'!$H:$H,"E")</f>
        <v>988.60000000000025</v>
      </c>
      <c r="BA16" s="159">
        <f>SUMIFS('Central Hudson Data'!$N:$N,'Central Hudson Data'!$B:$B,$B16,'Central Hudson Data'!$O:$O,BA$9,'Central Hudson Data'!$H:$H,"E")</f>
        <v>1245.3500000000001</v>
      </c>
      <c r="BB16" s="159">
        <f>SUMIFS('Central Hudson Data'!$N:$N,'Central Hudson Data'!$B:$B,$B16,'Central Hudson Data'!$O:$O,BB$9,'Central Hudson Data'!$H:$H,"E")</f>
        <v>0</v>
      </c>
      <c r="BC16" s="44">
        <f>SUMIFS('Central Hudson Data'!$N:$N,'Central Hudson Data'!$B:$B,$B16,'Central Hudson Data'!$O:$O,BC$9,'Central Hudson Data'!$H:$H,"G")</f>
        <v>0</v>
      </c>
      <c r="BD16" s="44">
        <f>SUMIFS('Central Hudson Data'!$N:$N,'Central Hudson Data'!$B:$B,$B16,'Central Hudson Data'!$O:$O,BD$9,'Central Hudson Data'!$H:$H,"G")</f>
        <v>0</v>
      </c>
      <c r="BE16" s="44">
        <f>SUMIFS('Central Hudson Data'!$N:$N,'Central Hudson Data'!$B:$B,$B16,'Central Hudson Data'!$O:$O,BE$9,'Central Hudson Data'!$H:$H,"G")</f>
        <v>0</v>
      </c>
      <c r="BF16" s="44">
        <f>SUMIFS('Central Hudson Data'!$N:$N,'Central Hudson Data'!$B:$B,$B16,'Central Hudson Data'!$O:$O,BF$9,'Central Hudson Data'!$H:$H,"G")</f>
        <v>0</v>
      </c>
      <c r="BG16" s="44">
        <f>SUMIFS('Central Hudson Data'!$N:$N,'Central Hudson Data'!$B:$B,$B16,'Central Hudson Data'!$O:$O,BG$9,'Central Hudson Data'!$H:$H,"G")</f>
        <v>0</v>
      </c>
      <c r="BH16" s="45">
        <f>SUMIFS('Tank.Other.Fuels'!$G:$G,'Tank.Other.Fuels'!$B:$B,$B16,'Tank.Other.Fuels'!$D:$D,$BH$8,'Tank.Other.Fuels'!$E:$E,BH$9)</f>
        <v>0</v>
      </c>
      <c r="BI16" s="45">
        <f>SUMIFS('Tank.Other.Fuels'!$G:$G,'Tank.Other.Fuels'!$B:$B,$B16,'Tank.Other.Fuels'!$D:$D,$BH$8,'Tank.Other.Fuels'!$E:$E,BI$9)</f>
        <v>0</v>
      </c>
      <c r="BJ16" s="45">
        <f>SUMIFS('Tank.Other.Fuels'!$G:$G,'Tank.Other.Fuels'!$B:$B,$B16,'Tank.Other.Fuels'!$D:$D,$BH$8,'Tank.Other.Fuels'!$E:$E,BJ$9)</f>
        <v>0</v>
      </c>
      <c r="BK16" s="45">
        <f>SUMIFS('Tank.Other.Fuels'!$G:$G,'Tank.Other.Fuels'!$B:$B,$B16,'Tank.Other.Fuels'!$D:$D,$BH$8,'Tank.Other.Fuels'!$E:$E,BK$9)</f>
        <v>0</v>
      </c>
      <c r="BL16" s="45">
        <f>SUMIFS('Tank.Other.Fuels'!$G:$G,'Tank.Other.Fuels'!$B:$B,$B16,'Tank.Other.Fuels'!$D:$D,$BH$8,'Tank.Other.Fuels'!$E:$E,BL$9)</f>
        <v>0</v>
      </c>
      <c r="BM16" s="45">
        <f>SUMIFS('Tank.Other.Fuels'!$G:$G,'Tank.Other.Fuels'!$B:$B,$B16,'Tank.Other.Fuels'!$D:$D,$BM$8,'Tank.Other.Fuels'!$E:$E,BM$9)</f>
        <v>0</v>
      </c>
      <c r="BN16" s="45">
        <f>SUMIFS('Tank.Other.Fuels'!$G:$G,'Tank.Other.Fuels'!$B:$B,$B16,'Tank.Other.Fuels'!$D:$D,$BM$8,'Tank.Other.Fuels'!$E:$E,BN$9)</f>
        <v>0</v>
      </c>
      <c r="BO16" s="45">
        <f>SUMIFS('Tank.Other.Fuels'!$G:$G,'Tank.Other.Fuels'!$B:$B,$B16,'Tank.Other.Fuels'!$D:$D,$BM$8,'Tank.Other.Fuels'!$E:$E,BO$9)</f>
        <v>0</v>
      </c>
      <c r="BP16" s="45">
        <f>SUMIFS('Tank.Other.Fuels'!$G:$G,'Tank.Other.Fuels'!$B:$B,$B16,'Tank.Other.Fuels'!$D:$D,$BM$8,'Tank.Other.Fuels'!$E:$E,BP$9)</f>
        <v>0</v>
      </c>
      <c r="BQ16" s="45">
        <f>SUMIFS('Tank.Other.Fuels'!$G:$G,'Tank.Other.Fuels'!$B:$B,$B16,'Tank.Other.Fuels'!$D:$D,$BM$8,'Tank.Other.Fuels'!$E:$E,BQ$9)</f>
        <v>0</v>
      </c>
      <c r="BR16" s="46">
        <f t="shared" si="6"/>
        <v>893.41000000000008</v>
      </c>
      <c r="BS16" s="46">
        <f t="shared" si="7"/>
        <v>789.06</v>
      </c>
      <c r="BT16" s="46">
        <f t="shared" si="8"/>
        <v>988.60000000000025</v>
      </c>
      <c r="BU16" s="46">
        <f t="shared" si="9"/>
        <v>1245.3500000000001</v>
      </c>
      <c r="BV16" s="46">
        <f t="shared" si="10"/>
        <v>0</v>
      </c>
      <c r="BW16" s="63">
        <f t="shared" si="11"/>
        <v>979.10500000000002</v>
      </c>
    </row>
    <row r="17" spans="1:75" x14ac:dyDescent="0.25">
      <c r="B17" s="15" t="s">
        <v>223</v>
      </c>
      <c r="C17" s="41" t="str">
        <f>VLOOKUP(B17,'Facility Master List'!$A$6:$D$60,3,FALSE)</f>
        <v>Administration Facilities</v>
      </c>
      <c r="D17" s="106">
        <f>SUMIFS('Central Hudson Data'!$I:$I,'Central Hudson Data'!$B:$B,$B17,'Central Hudson Data'!$O:$O,D$9,'Central Hudson Data'!$H:$H,"E")</f>
        <v>1667</v>
      </c>
      <c r="E17" s="47">
        <f>SUMIFS('Central Hudson Data'!$I:$I,'Central Hudson Data'!$B:$B,$B17,'Central Hudson Data'!$O:$O,E$9,'Central Hudson Data'!$H:$H,"E")</f>
        <v>1057</v>
      </c>
      <c r="F17" s="154">
        <f>SUMIFS('Central Hudson Data'!$I:$I,'Central Hudson Data'!$B:$B,$B17,'Central Hudson Data'!$O:$O,F$9,'Central Hudson Data'!$H:$H,"E")</f>
        <v>596</v>
      </c>
      <c r="G17" s="154">
        <f>SUMIFS('Central Hudson Data'!$I:$I,'Central Hudson Data'!$B:$B,$B17,'Central Hudson Data'!$O:$O,G$9,'Central Hudson Data'!$H:$H,"E")</f>
        <v>752</v>
      </c>
      <c r="H17" s="155">
        <f>SUMIFS('Central Hudson Data'!$I:$I,'Central Hudson Data'!$B:$B,$B17,'Central Hudson Data'!$O:$O,H$9,'Central Hudson Data'!$H:$H,"E")</f>
        <v>0</v>
      </c>
      <c r="I17" s="42">
        <f>SUMIFS('Central Hudson Data'!$I:$I,'Central Hudson Data'!$B:$B,$B17,'Central Hudson Data'!$O:$O,I$9,'Central Hudson Data'!$H:$H,"G")</f>
        <v>0</v>
      </c>
      <c r="J17" s="42">
        <f>SUMIFS('Central Hudson Data'!$I:$I,'Central Hudson Data'!$B:$B,$B17,'Central Hudson Data'!$O:$O,J$9,'Central Hudson Data'!$H:$H,"G")</f>
        <v>0</v>
      </c>
      <c r="K17" s="42">
        <f>SUMIFS('Central Hudson Data'!$I:$I,'Central Hudson Data'!$B:$B,$B17,'Central Hudson Data'!$O:$O,K$9,'Central Hudson Data'!$H:$H,"G")</f>
        <v>0</v>
      </c>
      <c r="L17" s="42">
        <f>SUMIFS('Central Hudson Data'!$I:$I,'Central Hudson Data'!$B:$B,$B17,'Central Hudson Data'!$O:$O,L$9,'Central Hudson Data'!$H:$H,"G")</f>
        <v>0</v>
      </c>
      <c r="M17" s="42">
        <f>SUMIFS('Central Hudson Data'!$I:$I,'Central Hudson Data'!$B:$B,$B17,'Central Hudson Data'!$O:$O,M$9,'Central Hudson Data'!$H:$H,"G")</f>
        <v>0</v>
      </c>
      <c r="N17" s="42">
        <f>SUMIFS('Tank.Other.Fuels'!$F:$F,'Tank.Other.Fuels'!$B:$B,$B17,'Tank.Other.Fuels'!$D:$D,$N$8,'Tank.Other.Fuels'!$E:$E,N$9)</f>
        <v>231.1</v>
      </c>
      <c r="O17" s="42">
        <f>SUMIFS('Tank.Other.Fuels'!$F:$F,'Tank.Other.Fuels'!$B:$B,$B17,'Tank.Other.Fuels'!$D:$D,$N$8,'Tank.Other.Fuels'!$E:$E,O$9)</f>
        <v>141.19999999999999</v>
      </c>
      <c r="P17" s="42">
        <f>SUMIFS('Tank.Other.Fuels'!$F:$F,'Tank.Other.Fuels'!$B:$B,$B17,'Tank.Other.Fuels'!$D:$D,$N$8,'Tank.Other.Fuels'!$E:$E,P$9)</f>
        <v>176</v>
      </c>
      <c r="Q17" s="42">
        <f>SUMIFS('Tank.Other.Fuels'!$F:$F,'Tank.Other.Fuels'!$B:$B,$B17,'Tank.Other.Fuels'!$D:$D,$N$8,'Tank.Other.Fuels'!$E:$E,Q$9)</f>
        <v>217.9</v>
      </c>
      <c r="R17" s="42">
        <f>SUMIFS('Tank.Other.Fuels'!$F:$F,'Tank.Other.Fuels'!$B:$B,$B17,'Tank.Other.Fuels'!$D:$D,$N$8,'Tank.Other.Fuels'!$E:$E,R$9)</f>
        <v>0</v>
      </c>
      <c r="S17" s="42">
        <f>SUMIFS('Tank.Other.Fuels'!$F:$F,'Tank.Other.Fuels'!$B:$B,$B17,'Tank.Other.Fuels'!$D:$D,$S$8,'Tank.Other.Fuels'!$E:$E,S$9)</f>
        <v>0</v>
      </c>
      <c r="T17" s="42">
        <f>SUMIFS('Tank.Other.Fuels'!$F:$F,'Tank.Other.Fuels'!$B:$B,$B17,'Tank.Other.Fuels'!$D:$D,$S$8,'Tank.Other.Fuels'!$E:$E,T$9)</f>
        <v>0</v>
      </c>
      <c r="U17" s="42">
        <f>SUMIFS('Tank.Other.Fuels'!$F:$F,'Tank.Other.Fuels'!$B:$B,$B17,'Tank.Other.Fuels'!$D:$D,$S$8,'Tank.Other.Fuels'!$E:$E,U$9)</f>
        <v>0</v>
      </c>
      <c r="V17" s="42">
        <f>SUMIFS('Tank.Other.Fuels'!$F:$F,'Tank.Other.Fuels'!$B:$B,$B17,'Tank.Other.Fuels'!$D:$D,$S$8,'Tank.Other.Fuels'!$E:$E,V$9)</f>
        <v>0</v>
      </c>
      <c r="W17" s="42">
        <f>SUMIFS('Tank.Other.Fuels'!$F:$F,'Tank.Other.Fuels'!$B:$B,$B17,'Tank.Other.Fuels'!$D:$D,$S$8,'Tank.Other.Fuels'!$E:$E,W$9)</f>
        <v>0</v>
      </c>
      <c r="X17" s="156">
        <f>D17/1000*'Factors and Sources'!$C$6/1000</f>
        <v>0.223774746</v>
      </c>
      <c r="Y17" s="157">
        <f>E17/1000*'Factors and Sources'!$C$6/1000</f>
        <v>0.14188956599999999</v>
      </c>
      <c r="Z17" s="157">
        <f>F17/1000*'Factors and Sources'!$C$6/1000</f>
        <v>8.0005848000000004E-2</v>
      </c>
      <c r="AA17" s="157">
        <f>G17/1000*'Factors and Sources'!$C$6/1000</f>
        <v>0.10094697600000001</v>
      </c>
      <c r="AB17" s="157">
        <f>H17/1000*'Factors and Sources'!$C$6/1000</f>
        <v>0</v>
      </c>
      <c r="AC17" s="43">
        <f>I17/10*'Factors and Sources'!$C$7/1000</f>
        <v>0</v>
      </c>
      <c r="AD17" s="43">
        <f>J17/10*'Factors and Sources'!$C$7/1000</f>
        <v>0</v>
      </c>
      <c r="AE17" s="43">
        <f>K17/10*'Factors and Sources'!$C$7/1000</f>
        <v>0</v>
      </c>
      <c r="AF17" s="43">
        <f>L17/10*'Factors and Sources'!$C$7/1000</f>
        <v>0</v>
      </c>
      <c r="AG17" s="43">
        <f>M17/10*'Factors and Sources'!$C$7/1000</f>
        <v>0</v>
      </c>
      <c r="AH17" s="43">
        <f>N17*'Factors and Sources'!$C$8/1000</f>
        <v>1.3565759314530397</v>
      </c>
      <c r="AI17" s="43">
        <f>O17*'Factors and Sources'!$C$8/1000</f>
        <v>0.82885556694577744</v>
      </c>
      <c r="AJ17" s="43">
        <f>P17*'Factors and Sources'!$C$8/1000</f>
        <v>1.0331344177227821</v>
      </c>
      <c r="AK17" s="43">
        <f>Q17*'Factors and Sources'!$C$8/1000</f>
        <v>1.2790908501238309</v>
      </c>
      <c r="AL17" s="43">
        <f>R17*'Factors and Sources'!$C$8/1000</f>
        <v>0</v>
      </c>
      <c r="AM17" s="43">
        <f>S17*'Factors and Sources'!$C$9/1000</f>
        <v>0</v>
      </c>
      <c r="AN17" s="43">
        <f>T17*'Factors and Sources'!$C$9/1000</f>
        <v>0</v>
      </c>
      <c r="AO17" s="43">
        <f>U17*'Factors and Sources'!$C$9/1000</f>
        <v>0</v>
      </c>
      <c r="AP17" s="43">
        <f>V17*'Factors and Sources'!$C$9/1000</f>
        <v>0</v>
      </c>
      <c r="AQ17" s="43">
        <f>W17*'Factors and Sources'!$C$9/1000</f>
        <v>0</v>
      </c>
      <c r="AR17" s="43">
        <f t="shared" si="0"/>
        <v>1.5803506774530396</v>
      </c>
      <c r="AS17" s="43">
        <f t="shared" si="1"/>
        <v>0.97074513294577747</v>
      </c>
      <c r="AT17" s="43">
        <f t="shared" si="2"/>
        <v>1.1131402657227822</v>
      </c>
      <c r="AU17" s="43">
        <f t="shared" si="3"/>
        <v>1.3800378261238309</v>
      </c>
      <c r="AV17" s="43">
        <f t="shared" si="4"/>
        <v>0</v>
      </c>
      <c r="AW17" s="158">
        <f t="shared" si="5"/>
        <v>1.2610684755613577</v>
      </c>
      <c r="AX17" s="96">
        <f>SUMIFS('Central Hudson Data'!$N:$N,'Central Hudson Data'!$B:$B,$B17,'Central Hudson Data'!$O:$O,AX$9,'Central Hudson Data'!$H:$H,"E")</f>
        <v>526.67999999999995</v>
      </c>
      <c r="AY17" s="159">
        <f>SUMIFS('Central Hudson Data'!$N:$N,'Central Hudson Data'!$B:$B,$B17,'Central Hudson Data'!$O:$O,AY$9,'Central Hudson Data'!$H:$H,"E")</f>
        <v>431.04</v>
      </c>
      <c r="AZ17" s="159">
        <f>SUMIFS('Central Hudson Data'!$N:$N,'Central Hudson Data'!$B:$B,$B17,'Central Hudson Data'!$O:$O,AZ$9,'Central Hudson Data'!$H:$H,"E")</f>
        <v>397.03999999999996</v>
      </c>
      <c r="BA17" s="159">
        <f>SUMIFS('Central Hudson Data'!$N:$N,'Central Hudson Data'!$B:$B,$B17,'Central Hudson Data'!$O:$O,BA$9,'Central Hudson Data'!$H:$H,"E")</f>
        <v>391.14</v>
      </c>
      <c r="BB17" s="159">
        <f>SUMIFS('Central Hudson Data'!$N:$N,'Central Hudson Data'!$B:$B,$B17,'Central Hudson Data'!$O:$O,BB$9,'Central Hudson Data'!$H:$H,"E")</f>
        <v>0</v>
      </c>
      <c r="BC17" s="44">
        <f>SUMIFS('Central Hudson Data'!$N:$N,'Central Hudson Data'!$B:$B,$B17,'Central Hudson Data'!$O:$O,BC$9,'Central Hudson Data'!$H:$H,"G")</f>
        <v>0</v>
      </c>
      <c r="BD17" s="44">
        <f>SUMIFS('Central Hudson Data'!$N:$N,'Central Hudson Data'!$B:$B,$B17,'Central Hudson Data'!$O:$O,BD$9,'Central Hudson Data'!$H:$H,"G")</f>
        <v>0</v>
      </c>
      <c r="BE17" s="44">
        <f>SUMIFS('Central Hudson Data'!$N:$N,'Central Hudson Data'!$B:$B,$B17,'Central Hudson Data'!$O:$O,BE$9,'Central Hudson Data'!$H:$H,"G")</f>
        <v>0</v>
      </c>
      <c r="BF17" s="44">
        <f>SUMIFS('Central Hudson Data'!$N:$N,'Central Hudson Data'!$B:$B,$B17,'Central Hudson Data'!$O:$O,BF$9,'Central Hudson Data'!$H:$H,"G")</f>
        <v>0</v>
      </c>
      <c r="BG17" s="44">
        <f>SUMIFS('Central Hudson Data'!$N:$N,'Central Hudson Data'!$B:$B,$B17,'Central Hudson Data'!$O:$O,BG$9,'Central Hudson Data'!$H:$H,"G")</f>
        <v>0</v>
      </c>
      <c r="BH17" s="45">
        <f>SUMIFS('Tank.Other.Fuels'!$G:$G,'Tank.Other.Fuels'!$B:$B,$B17,'Tank.Other.Fuels'!$D:$D,$BH$8,'Tank.Other.Fuels'!$E:$E,BH$9)</f>
        <v>221.04</v>
      </c>
      <c r="BI17" s="45">
        <f>SUMIFS('Tank.Other.Fuels'!$G:$G,'Tank.Other.Fuels'!$B:$B,$B17,'Tank.Other.Fuels'!$D:$D,$BH$8,'Tank.Other.Fuels'!$E:$E,BI$9)</f>
        <v>120.45</v>
      </c>
      <c r="BJ17" s="45">
        <f>SUMIFS('Tank.Other.Fuels'!$G:$G,'Tank.Other.Fuels'!$B:$B,$B17,'Tank.Other.Fuels'!$D:$D,$BH$8,'Tank.Other.Fuels'!$E:$E,BJ$9)</f>
        <v>218.8</v>
      </c>
      <c r="BK17" s="45">
        <f>SUMIFS('Tank.Other.Fuels'!$G:$G,'Tank.Other.Fuels'!$B:$B,$B17,'Tank.Other.Fuels'!$D:$D,$BH$8,'Tank.Other.Fuels'!$E:$E,BK$9)</f>
        <v>327.89</v>
      </c>
      <c r="BL17" s="45">
        <f>SUMIFS('Tank.Other.Fuels'!$G:$G,'Tank.Other.Fuels'!$B:$B,$B17,'Tank.Other.Fuels'!$D:$D,$BH$8,'Tank.Other.Fuels'!$E:$E,BL$9)</f>
        <v>0</v>
      </c>
      <c r="BM17" s="45">
        <f>SUMIFS('Tank.Other.Fuels'!$G:$G,'Tank.Other.Fuels'!$B:$B,$B17,'Tank.Other.Fuels'!$D:$D,$BM$8,'Tank.Other.Fuels'!$E:$E,BM$9)</f>
        <v>0</v>
      </c>
      <c r="BN17" s="45">
        <f>SUMIFS('Tank.Other.Fuels'!$G:$G,'Tank.Other.Fuels'!$B:$B,$B17,'Tank.Other.Fuels'!$D:$D,$BM$8,'Tank.Other.Fuels'!$E:$E,BN$9)</f>
        <v>0</v>
      </c>
      <c r="BO17" s="45">
        <f>SUMIFS('Tank.Other.Fuels'!$G:$G,'Tank.Other.Fuels'!$B:$B,$B17,'Tank.Other.Fuels'!$D:$D,$BM$8,'Tank.Other.Fuels'!$E:$E,BO$9)</f>
        <v>0</v>
      </c>
      <c r="BP17" s="45">
        <f>SUMIFS('Tank.Other.Fuels'!$G:$G,'Tank.Other.Fuels'!$B:$B,$B17,'Tank.Other.Fuels'!$D:$D,$BM$8,'Tank.Other.Fuels'!$E:$E,BP$9)</f>
        <v>0</v>
      </c>
      <c r="BQ17" s="45">
        <f>SUMIFS('Tank.Other.Fuels'!$G:$G,'Tank.Other.Fuels'!$B:$B,$B17,'Tank.Other.Fuels'!$D:$D,$BM$8,'Tank.Other.Fuels'!$E:$E,BQ$9)</f>
        <v>0</v>
      </c>
      <c r="BR17" s="46">
        <f t="shared" si="6"/>
        <v>747.71999999999991</v>
      </c>
      <c r="BS17" s="46">
        <f t="shared" si="7"/>
        <v>551.49</v>
      </c>
      <c r="BT17" s="46">
        <f t="shared" si="8"/>
        <v>615.83999999999992</v>
      </c>
      <c r="BU17" s="46">
        <f t="shared" si="9"/>
        <v>719.03</v>
      </c>
      <c r="BV17" s="46">
        <f t="shared" si="10"/>
        <v>0</v>
      </c>
      <c r="BW17" s="63">
        <f t="shared" si="11"/>
        <v>658.52</v>
      </c>
    </row>
    <row r="18" spans="1:75" x14ac:dyDescent="0.25">
      <c r="B18" s="15" t="s">
        <v>224</v>
      </c>
      <c r="C18" s="41" t="str">
        <f>VLOOKUP(B18,'Facility Master List'!$A$6:$D$60,3,FALSE)</f>
        <v>Administration Facilities</v>
      </c>
      <c r="D18" s="106">
        <f>SUMIFS('Central Hudson Data'!$I:$I,'Central Hudson Data'!$B:$B,$B18,'Central Hudson Data'!$O:$O,D$9,'Central Hudson Data'!$H:$H,"E")</f>
        <v>2686</v>
      </c>
      <c r="E18" s="47">
        <f>SUMIFS('Central Hudson Data'!$I:$I,'Central Hudson Data'!$B:$B,$B18,'Central Hudson Data'!$O:$O,E$9,'Central Hudson Data'!$H:$H,"E")</f>
        <v>4127</v>
      </c>
      <c r="F18" s="154">
        <f>SUMIFS('Central Hudson Data'!$I:$I,'Central Hudson Data'!$B:$B,$B18,'Central Hudson Data'!$O:$O,F$9,'Central Hudson Data'!$H:$H,"E")</f>
        <v>1696</v>
      </c>
      <c r="G18" s="154">
        <f>SUMIFS('Central Hudson Data'!$I:$I,'Central Hudson Data'!$B:$B,$B18,'Central Hudson Data'!$O:$O,G$9,'Central Hudson Data'!$H:$H,"E")</f>
        <v>649</v>
      </c>
      <c r="H18" s="155">
        <f>SUMIFS('Central Hudson Data'!$I:$I,'Central Hudson Data'!$B:$B,$B18,'Central Hudson Data'!$O:$O,H$9,'Central Hudson Data'!$H:$H,"E")</f>
        <v>0</v>
      </c>
      <c r="I18" s="42">
        <f>SUMIFS('Central Hudson Data'!$I:$I,'Central Hudson Data'!$B:$B,$B18,'Central Hudson Data'!$O:$O,I$9,'Central Hudson Data'!$H:$H,"G")</f>
        <v>0</v>
      </c>
      <c r="J18" s="42">
        <f>SUMIFS('Central Hudson Data'!$I:$I,'Central Hudson Data'!$B:$B,$B18,'Central Hudson Data'!$O:$O,J$9,'Central Hudson Data'!$H:$H,"G")</f>
        <v>0</v>
      </c>
      <c r="K18" s="42">
        <f>SUMIFS('Central Hudson Data'!$I:$I,'Central Hudson Data'!$B:$B,$B18,'Central Hudson Data'!$O:$O,K$9,'Central Hudson Data'!$H:$H,"G")</f>
        <v>0</v>
      </c>
      <c r="L18" s="42">
        <f>SUMIFS('Central Hudson Data'!$I:$I,'Central Hudson Data'!$B:$B,$B18,'Central Hudson Data'!$O:$O,L$9,'Central Hudson Data'!$H:$H,"G")</f>
        <v>0</v>
      </c>
      <c r="M18" s="42">
        <f>SUMIFS('Central Hudson Data'!$I:$I,'Central Hudson Data'!$B:$B,$B18,'Central Hudson Data'!$O:$O,M$9,'Central Hudson Data'!$H:$H,"G")</f>
        <v>0</v>
      </c>
      <c r="N18" s="42">
        <f>SUMIFS('Tank.Other.Fuels'!$F:$F,'Tank.Other.Fuels'!$B:$B,$B18,'Tank.Other.Fuels'!$D:$D,$N$8,'Tank.Other.Fuels'!$E:$E,N$9)</f>
        <v>0</v>
      </c>
      <c r="O18" s="42">
        <f>SUMIFS('Tank.Other.Fuels'!$F:$F,'Tank.Other.Fuels'!$B:$B,$B18,'Tank.Other.Fuels'!$D:$D,$N$8,'Tank.Other.Fuels'!$E:$E,O$9)</f>
        <v>0</v>
      </c>
      <c r="P18" s="42">
        <f>SUMIFS('Tank.Other.Fuels'!$F:$F,'Tank.Other.Fuels'!$B:$B,$B18,'Tank.Other.Fuels'!$D:$D,$N$8,'Tank.Other.Fuels'!$E:$E,P$9)</f>
        <v>0</v>
      </c>
      <c r="Q18" s="42">
        <f>SUMIFS('Tank.Other.Fuels'!$F:$F,'Tank.Other.Fuels'!$B:$B,$B18,'Tank.Other.Fuels'!$D:$D,$N$8,'Tank.Other.Fuels'!$E:$E,Q$9)</f>
        <v>0</v>
      </c>
      <c r="R18" s="42">
        <f>SUMIFS('Tank.Other.Fuels'!$F:$F,'Tank.Other.Fuels'!$B:$B,$B18,'Tank.Other.Fuels'!$D:$D,$N$8,'Tank.Other.Fuels'!$E:$E,R$9)</f>
        <v>0</v>
      </c>
      <c r="S18" s="42">
        <f>SUMIFS('Tank.Other.Fuels'!$F:$F,'Tank.Other.Fuels'!$B:$B,$B18,'Tank.Other.Fuels'!$D:$D,$S$8,'Tank.Other.Fuels'!$E:$E,S$9)</f>
        <v>0</v>
      </c>
      <c r="T18" s="42">
        <f>SUMIFS('Tank.Other.Fuels'!$F:$F,'Tank.Other.Fuels'!$B:$B,$B18,'Tank.Other.Fuels'!$D:$D,$S$8,'Tank.Other.Fuels'!$E:$E,T$9)</f>
        <v>0</v>
      </c>
      <c r="U18" s="42">
        <f>SUMIFS('Tank.Other.Fuels'!$F:$F,'Tank.Other.Fuels'!$B:$B,$B18,'Tank.Other.Fuels'!$D:$D,$S$8,'Tank.Other.Fuels'!$E:$E,U$9)</f>
        <v>0</v>
      </c>
      <c r="V18" s="42">
        <f>SUMIFS('Tank.Other.Fuels'!$F:$F,'Tank.Other.Fuels'!$B:$B,$B18,'Tank.Other.Fuels'!$D:$D,$S$8,'Tank.Other.Fuels'!$E:$E,V$9)</f>
        <v>0</v>
      </c>
      <c r="W18" s="42">
        <f>SUMIFS('Tank.Other.Fuels'!$F:$F,'Tank.Other.Fuels'!$B:$B,$B18,'Tank.Other.Fuels'!$D:$D,$S$8,'Tank.Other.Fuels'!$E:$E,W$9)</f>
        <v>0</v>
      </c>
      <c r="X18" s="156">
        <f>D18/1000*'Factors and Sources'!$C$6/1000</f>
        <v>0.36056326799999999</v>
      </c>
      <c r="Y18" s="157">
        <f>E18/1000*'Factors and Sources'!$C$6/1000</f>
        <v>0.55400022599999998</v>
      </c>
      <c r="Z18" s="157">
        <f>F18/1000*'Factors and Sources'!$C$6/1000</f>
        <v>0.22766764799999997</v>
      </c>
      <c r="AA18" s="157">
        <f>G18/1000*'Factors and Sources'!$C$6/1000</f>
        <v>8.712046200000001E-2</v>
      </c>
      <c r="AB18" s="157">
        <f>H18/1000*'Factors and Sources'!$C$6/1000</f>
        <v>0</v>
      </c>
      <c r="AC18" s="43">
        <f>I18/10*'Factors and Sources'!$C$7/1000</f>
        <v>0</v>
      </c>
      <c r="AD18" s="43">
        <f>J18/10*'Factors and Sources'!$C$7/1000</f>
        <v>0</v>
      </c>
      <c r="AE18" s="43">
        <f>K18/10*'Factors and Sources'!$C$7/1000</f>
        <v>0</v>
      </c>
      <c r="AF18" s="43">
        <f>L18/10*'Factors and Sources'!$C$7/1000</f>
        <v>0</v>
      </c>
      <c r="AG18" s="43">
        <f>M18/10*'Factors and Sources'!$C$7/1000</f>
        <v>0</v>
      </c>
      <c r="AH18" s="43">
        <f>N18*'Factors and Sources'!$C$8/1000</f>
        <v>0</v>
      </c>
      <c r="AI18" s="43">
        <f>O18*'Factors and Sources'!$C$8/1000</f>
        <v>0</v>
      </c>
      <c r="AJ18" s="43">
        <f>P18*'Factors and Sources'!$C$8/1000</f>
        <v>0</v>
      </c>
      <c r="AK18" s="43">
        <f>Q18*'Factors and Sources'!$C$8/1000</f>
        <v>0</v>
      </c>
      <c r="AL18" s="43">
        <f>R18*'Factors and Sources'!$C$8/1000</f>
        <v>0</v>
      </c>
      <c r="AM18" s="43">
        <f>S18*'Factors and Sources'!$C$9/1000</f>
        <v>0</v>
      </c>
      <c r="AN18" s="43">
        <f>T18*'Factors and Sources'!$C$9/1000</f>
        <v>0</v>
      </c>
      <c r="AO18" s="43">
        <f>U18*'Factors and Sources'!$C$9/1000</f>
        <v>0</v>
      </c>
      <c r="AP18" s="43">
        <f>V18*'Factors and Sources'!$C$9/1000</f>
        <v>0</v>
      </c>
      <c r="AQ18" s="43">
        <f>W18*'Factors and Sources'!$C$9/1000</f>
        <v>0</v>
      </c>
      <c r="AR18" s="43">
        <f t="shared" si="0"/>
        <v>0.36056326799999999</v>
      </c>
      <c r="AS18" s="43">
        <f t="shared" si="1"/>
        <v>0.55400022599999998</v>
      </c>
      <c r="AT18" s="43">
        <f t="shared" si="2"/>
        <v>0.22766764799999997</v>
      </c>
      <c r="AU18" s="43">
        <f t="shared" si="3"/>
        <v>8.712046200000001E-2</v>
      </c>
      <c r="AV18" s="43">
        <f t="shared" si="4"/>
        <v>0</v>
      </c>
      <c r="AW18" s="158">
        <f t="shared" si="5"/>
        <v>0.30733790100000002</v>
      </c>
      <c r="AX18" s="96">
        <f>SUMIFS('Central Hudson Data'!$N:$N,'Central Hudson Data'!$B:$B,$B18,'Central Hudson Data'!$O:$O,AX$9,'Central Hudson Data'!$H:$H,"E")</f>
        <v>662.09</v>
      </c>
      <c r="AY18" s="159">
        <f>SUMIFS('Central Hudson Data'!$N:$N,'Central Hudson Data'!$B:$B,$B18,'Central Hudson Data'!$O:$O,AY$9,'Central Hudson Data'!$H:$H,"E")</f>
        <v>857.3</v>
      </c>
      <c r="AZ18" s="159">
        <f>SUMIFS('Central Hudson Data'!$N:$N,'Central Hudson Data'!$B:$B,$B18,'Central Hudson Data'!$O:$O,AZ$9,'Central Hudson Data'!$H:$H,"E")</f>
        <v>746.50999999999988</v>
      </c>
      <c r="BA18" s="159">
        <f>SUMIFS('Central Hudson Data'!$N:$N,'Central Hudson Data'!$B:$B,$B18,'Central Hudson Data'!$O:$O,BA$9,'Central Hudson Data'!$H:$H,"E")</f>
        <v>482.15999999999997</v>
      </c>
      <c r="BB18" s="159">
        <f>SUMIFS('Central Hudson Data'!$N:$N,'Central Hudson Data'!$B:$B,$B18,'Central Hudson Data'!$O:$O,BB$9,'Central Hudson Data'!$H:$H,"E")</f>
        <v>0</v>
      </c>
      <c r="BC18" s="44">
        <f>SUMIFS('Central Hudson Data'!$N:$N,'Central Hudson Data'!$B:$B,$B18,'Central Hudson Data'!$O:$O,BC$9,'Central Hudson Data'!$H:$H,"G")</f>
        <v>0</v>
      </c>
      <c r="BD18" s="44">
        <f>SUMIFS('Central Hudson Data'!$N:$N,'Central Hudson Data'!$B:$B,$B18,'Central Hudson Data'!$O:$O,BD$9,'Central Hudson Data'!$H:$H,"G")</f>
        <v>0</v>
      </c>
      <c r="BE18" s="44">
        <f>SUMIFS('Central Hudson Data'!$N:$N,'Central Hudson Data'!$B:$B,$B18,'Central Hudson Data'!$O:$O,BE$9,'Central Hudson Data'!$H:$H,"G")</f>
        <v>0</v>
      </c>
      <c r="BF18" s="44">
        <f>SUMIFS('Central Hudson Data'!$N:$N,'Central Hudson Data'!$B:$B,$B18,'Central Hudson Data'!$O:$O,BF$9,'Central Hudson Data'!$H:$H,"G")</f>
        <v>0</v>
      </c>
      <c r="BG18" s="44">
        <f>SUMIFS('Central Hudson Data'!$N:$N,'Central Hudson Data'!$B:$B,$B18,'Central Hudson Data'!$O:$O,BG$9,'Central Hudson Data'!$H:$H,"G")</f>
        <v>0</v>
      </c>
      <c r="BH18" s="45">
        <f>SUMIFS('Tank.Other.Fuels'!$G:$G,'Tank.Other.Fuels'!$B:$B,$B18,'Tank.Other.Fuels'!$D:$D,$BH$8,'Tank.Other.Fuels'!$E:$E,BH$9)</f>
        <v>0</v>
      </c>
      <c r="BI18" s="45">
        <f>SUMIFS('Tank.Other.Fuels'!$G:$G,'Tank.Other.Fuels'!$B:$B,$B18,'Tank.Other.Fuels'!$D:$D,$BH$8,'Tank.Other.Fuels'!$E:$E,BI$9)</f>
        <v>0</v>
      </c>
      <c r="BJ18" s="45">
        <f>SUMIFS('Tank.Other.Fuels'!$G:$G,'Tank.Other.Fuels'!$B:$B,$B18,'Tank.Other.Fuels'!$D:$D,$BH$8,'Tank.Other.Fuels'!$E:$E,BJ$9)</f>
        <v>0</v>
      </c>
      <c r="BK18" s="45">
        <f>SUMIFS('Tank.Other.Fuels'!$G:$G,'Tank.Other.Fuels'!$B:$B,$B18,'Tank.Other.Fuels'!$D:$D,$BH$8,'Tank.Other.Fuels'!$E:$E,BK$9)</f>
        <v>0</v>
      </c>
      <c r="BL18" s="45">
        <f>SUMIFS('Tank.Other.Fuels'!$G:$G,'Tank.Other.Fuels'!$B:$B,$B18,'Tank.Other.Fuels'!$D:$D,$BH$8,'Tank.Other.Fuels'!$E:$E,BL$9)</f>
        <v>0</v>
      </c>
      <c r="BM18" s="45">
        <f>SUMIFS('Tank.Other.Fuels'!$G:$G,'Tank.Other.Fuels'!$B:$B,$B18,'Tank.Other.Fuels'!$D:$D,$BM$8,'Tank.Other.Fuels'!$E:$E,BM$9)</f>
        <v>0</v>
      </c>
      <c r="BN18" s="45">
        <f>SUMIFS('Tank.Other.Fuels'!$G:$G,'Tank.Other.Fuels'!$B:$B,$B18,'Tank.Other.Fuels'!$D:$D,$BM$8,'Tank.Other.Fuels'!$E:$E,BN$9)</f>
        <v>0</v>
      </c>
      <c r="BO18" s="45">
        <f>SUMIFS('Tank.Other.Fuels'!$G:$G,'Tank.Other.Fuels'!$B:$B,$B18,'Tank.Other.Fuels'!$D:$D,$BM$8,'Tank.Other.Fuels'!$E:$E,BO$9)</f>
        <v>0</v>
      </c>
      <c r="BP18" s="45">
        <f>SUMIFS('Tank.Other.Fuels'!$G:$G,'Tank.Other.Fuels'!$B:$B,$B18,'Tank.Other.Fuels'!$D:$D,$BM$8,'Tank.Other.Fuels'!$E:$E,BP$9)</f>
        <v>0</v>
      </c>
      <c r="BQ18" s="45">
        <f>SUMIFS('Tank.Other.Fuels'!$G:$G,'Tank.Other.Fuels'!$B:$B,$B18,'Tank.Other.Fuels'!$D:$D,$BM$8,'Tank.Other.Fuels'!$E:$E,BQ$9)</f>
        <v>0</v>
      </c>
      <c r="BR18" s="46">
        <f t="shared" si="6"/>
        <v>662.09</v>
      </c>
      <c r="BS18" s="46">
        <f t="shared" si="7"/>
        <v>857.3</v>
      </c>
      <c r="BT18" s="46">
        <f t="shared" si="8"/>
        <v>746.50999999999988</v>
      </c>
      <c r="BU18" s="46">
        <f t="shared" si="9"/>
        <v>482.15999999999997</v>
      </c>
      <c r="BV18" s="46">
        <f t="shared" si="10"/>
        <v>0</v>
      </c>
      <c r="BW18" s="63">
        <f t="shared" si="11"/>
        <v>687.01499999999987</v>
      </c>
    </row>
    <row r="19" spans="1:75" x14ac:dyDescent="0.25">
      <c r="B19" s="15" t="s">
        <v>225</v>
      </c>
      <c r="C19" s="41" t="str">
        <f>VLOOKUP(B19,'Facility Master List'!$A$6:$D$60,3,FALSE)</f>
        <v>Administration Facilities</v>
      </c>
      <c r="D19" s="106">
        <f>SUMIFS('Central Hudson Data'!$I:$I,'Central Hudson Data'!$B:$B,$B19,'Central Hudson Data'!$O:$O,D$9,'Central Hudson Data'!$H:$H,"E")</f>
        <v>568</v>
      </c>
      <c r="E19" s="47">
        <f>SUMIFS('Central Hudson Data'!$I:$I,'Central Hudson Data'!$B:$B,$B19,'Central Hudson Data'!$O:$O,E$9,'Central Hudson Data'!$H:$H,"E")</f>
        <v>540</v>
      </c>
      <c r="F19" s="154">
        <f>SUMIFS('Central Hudson Data'!$I:$I,'Central Hudson Data'!$B:$B,$B19,'Central Hudson Data'!$O:$O,F$9,'Central Hudson Data'!$H:$H,"E")</f>
        <v>1186</v>
      </c>
      <c r="G19" s="154">
        <f>SUMIFS('Central Hudson Data'!$I:$I,'Central Hudson Data'!$B:$B,$B19,'Central Hudson Data'!$O:$O,G$9,'Central Hudson Data'!$H:$H,"E")</f>
        <v>1240</v>
      </c>
      <c r="H19" s="155">
        <f>SUMIFS('Central Hudson Data'!$I:$I,'Central Hudson Data'!$B:$B,$B19,'Central Hudson Data'!$O:$O,H$9,'Central Hudson Data'!$H:$H,"E")</f>
        <v>0</v>
      </c>
      <c r="I19" s="42">
        <f>SUMIFS('Central Hudson Data'!$I:$I,'Central Hudson Data'!$B:$B,$B19,'Central Hudson Data'!$O:$O,I$9,'Central Hudson Data'!$H:$H,"G")</f>
        <v>0</v>
      </c>
      <c r="J19" s="42">
        <f>SUMIFS('Central Hudson Data'!$I:$I,'Central Hudson Data'!$B:$B,$B19,'Central Hudson Data'!$O:$O,J$9,'Central Hudson Data'!$H:$H,"G")</f>
        <v>0</v>
      </c>
      <c r="K19" s="42">
        <f>SUMIFS('Central Hudson Data'!$I:$I,'Central Hudson Data'!$B:$B,$B19,'Central Hudson Data'!$O:$O,K$9,'Central Hudson Data'!$H:$H,"G")</f>
        <v>0</v>
      </c>
      <c r="L19" s="42">
        <f>SUMIFS('Central Hudson Data'!$I:$I,'Central Hudson Data'!$B:$B,$B19,'Central Hudson Data'!$O:$O,L$9,'Central Hudson Data'!$H:$H,"G")</f>
        <v>0</v>
      </c>
      <c r="M19" s="42">
        <f>SUMIFS('Central Hudson Data'!$I:$I,'Central Hudson Data'!$B:$B,$B19,'Central Hudson Data'!$O:$O,M$9,'Central Hudson Data'!$H:$H,"G")</f>
        <v>0</v>
      </c>
      <c r="N19" s="42">
        <f>SUMIFS('Tank.Other.Fuels'!$F:$F,'Tank.Other.Fuels'!$B:$B,$B19,'Tank.Other.Fuels'!$D:$D,$N$8,'Tank.Other.Fuels'!$E:$E,N$9)</f>
        <v>0</v>
      </c>
      <c r="O19" s="42">
        <f>SUMIFS('Tank.Other.Fuels'!$F:$F,'Tank.Other.Fuels'!$B:$B,$B19,'Tank.Other.Fuels'!$D:$D,$N$8,'Tank.Other.Fuels'!$E:$E,O$9)</f>
        <v>0</v>
      </c>
      <c r="P19" s="42">
        <f>SUMIFS('Tank.Other.Fuels'!$F:$F,'Tank.Other.Fuels'!$B:$B,$B19,'Tank.Other.Fuels'!$D:$D,$N$8,'Tank.Other.Fuels'!$E:$E,P$9)</f>
        <v>0</v>
      </c>
      <c r="Q19" s="42">
        <f>SUMIFS('Tank.Other.Fuels'!$F:$F,'Tank.Other.Fuels'!$B:$B,$B19,'Tank.Other.Fuels'!$D:$D,$N$8,'Tank.Other.Fuels'!$E:$E,Q$9)</f>
        <v>0</v>
      </c>
      <c r="R19" s="42">
        <f>SUMIFS('Tank.Other.Fuels'!$F:$F,'Tank.Other.Fuels'!$B:$B,$B19,'Tank.Other.Fuels'!$D:$D,$N$8,'Tank.Other.Fuels'!$E:$E,R$9)</f>
        <v>0</v>
      </c>
      <c r="S19" s="42">
        <f>SUMIFS('Tank.Other.Fuels'!$F:$F,'Tank.Other.Fuels'!$B:$B,$B19,'Tank.Other.Fuels'!$D:$D,$S$8,'Tank.Other.Fuels'!$E:$E,S$9)</f>
        <v>0</v>
      </c>
      <c r="T19" s="42">
        <f>SUMIFS('Tank.Other.Fuels'!$F:$F,'Tank.Other.Fuels'!$B:$B,$B19,'Tank.Other.Fuels'!$D:$D,$S$8,'Tank.Other.Fuels'!$E:$E,T$9)</f>
        <v>0</v>
      </c>
      <c r="U19" s="42">
        <f>SUMIFS('Tank.Other.Fuels'!$F:$F,'Tank.Other.Fuels'!$B:$B,$B19,'Tank.Other.Fuels'!$D:$D,$S$8,'Tank.Other.Fuels'!$E:$E,U$9)</f>
        <v>0</v>
      </c>
      <c r="V19" s="42">
        <f>SUMIFS('Tank.Other.Fuels'!$F:$F,'Tank.Other.Fuels'!$B:$B,$B19,'Tank.Other.Fuels'!$D:$D,$S$8,'Tank.Other.Fuels'!$E:$E,V$9)</f>
        <v>0</v>
      </c>
      <c r="W19" s="42">
        <f>SUMIFS('Tank.Other.Fuels'!$F:$F,'Tank.Other.Fuels'!$B:$B,$B19,'Tank.Other.Fuels'!$D:$D,$S$8,'Tank.Other.Fuels'!$E:$E,W$9)</f>
        <v>0</v>
      </c>
      <c r="X19" s="156">
        <f>D19/1000*'Factors and Sources'!$C$6/1000</f>
        <v>7.6247183999999996E-2</v>
      </c>
      <c r="Y19" s="157">
        <f>E19/1000*'Factors and Sources'!$C$6/1000</f>
        <v>7.2488520000000015E-2</v>
      </c>
      <c r="Z19" s="157">
        <f>F19/1000*'Factors and Sources'!$C$6/1000</f>
        <v>0.15920626799999998</v>
      </c>
      <c r="AA19" s="157">
        <f>G19/1000*'Factors and Sources'!$C$6/1000</f>
        <v>0.16645511999999998</v>
      </c>
      <c r="AB19" s="157">
        <f>H19/1000*'Factors and Sources'!$C$6/1000</f>
        <v>0</v>
      </c>
      <c r="AC19" s="43">
        <f>I19/10*'Factors and Sources'!$C$7/1000</f>
        <v>0</v>
      </c>
      <c r="AD19" s="43">
        <f>J19/10*'Factors and Sources'!$C$7/1000</f>
        <v>0</v>
      </c>
      <c r="AE19" s="43">
        <f>K19/10*'Factors and Sources'!$C$7/1000</f>
        <v>0</v>
      </c>
      <c r="AF19" s="43">
        <f>L19/10*'Factors and Sources'!$C$7/1000</f>
        <v>0</v>
      </c>
      <c r="AG19" s="43">
        <f>M19/10*'Factors and Sources'!$C$7/1000</f>
        <v>0</v>
      </c>
      <c r="AH19" s="43">
        <f>N19*'Factors and Sources'!$C$8/1000</f>
        <v>0</v>
      </c>
      <c r="AI19" s="43">
        <f>O19*'Factors and Sources'!$C$8/1000</f>
        <v>0</v>
      </c>
      <c r="AJ19" s="43">
        <f>P19*'Factors and Sources'!$C$8/1000</f>
        <v>0</v>
      </c>
      <c r="AK19" s="43">
        <f>Q19*'Factors and Sources'!$C$8/1000</f>
        <v>0</v>
      </c>
      <c r="AL19" s="43">
        <f>R19*'Factors and Sources'!$C$8/1000</f>
        <v>0</v>
      </c>
      <c r="AM19" s="43">
        <f>S19*'Factors and Sources'!$C$9/1000</f>
        <v>0</v>
      </c>
      <c r="AN19" s="43">
        <f>T19*'Factors and Sources'!$C$9/1000</f>
        <v>0</v>
      </c>
      <c r="AO19" s="43">
        <f>U19*'Factors and Sources'!$C$9/1000</f>
        <v>0</v>
      </c>
      <c r="AP19" s="43">
        <f>V19*'Factors and Sources'!$C$9/1000</f>
        <v>0</v>
      </c>
      <c r="AQ19" s="43">
        <f>W19*'Factors and Sources'!$C$9/1000</f>
        <v>0</v>
      </c>
      <c r="AR19" s="43">
        <f t="shared" si="0"/>
        <v>7.6247183999999996E-2</v>
      </c>
      <c r="AS19" s="43">
        <f t="shared" si="1"/>
        <v>7.2488520000000015E-2</v>
      </c>
      <c r="AT19" s="43">
        <f t="shared" si="2"/>
        <v>0.15920626799999998</v>
      </c>
      <c r="AU19" s="43">
        <f t="shared" si="3"/>
        <v>0.16645511999999998</v>
      </c>
      <c r="AV19" s="43">
        <f t="shared" si="4"/>
        <v>0</v>
      </c>
      <c r="AW19" s="158">
        <f t="shared" si="5"/>
        <v>0.11859927300000001</v>
      </c>
      <c r="AX19" s="96">
        <f>SUMIFS('Central Hudson Data'!$N:$N,'Central Hudson Data'!$B:$B,$B19,'Central Hudson Data'!$O:$O,AX$9,'Central Hudson Data'!$H:$H,"E")</f>
        <v>472.35</v>
      </c>
      <c r="AY19" s="159">
        <f>SUMIFS('Central Hudson Data'!$N:$N,'Central Hudson Data'!$B:$B,$B19,'Central Hudson Data'!$O:$O,AY$9,'Central Hudson Data'!$H:$H,"E")</f>
        <v>469.39000000000004</v>
      </c>
      <c r="AZ19" s="159">
        <f>SUMIFS('Central Hudson Data'!$N:$N,'Central Hudson Data'!$B:$B,$B19,'Central Hudson Data'!$O:$O,AZ$9,'Central Hudson Data'!$H:$H,"E")</f>
        <v>528.64</v>
      </c>
      <c r="BA19" s="159">
        <f>SUMIFS('Central Hudson Data'!$N:$N,'Central Hudson Data'!$B:$B,$B19,'Central Hudson Data'!$O:$O,BA$9,'Central Hudson Data'!$H:$H,"E")</f>
        <v>545.62</v>
      </c>
      <c r="BB19" s="159">
        <f>SUMIFS('Central Hudson Data'!$N:$N,'Central Hudson Data'!$B:$B,$B19,'Central Hudson Data'!$O:$O,BB$9,'Central Hudson Data'!$H:$H,"E")</f>
        <v>0</v>
      </c>
      <c r="BC19" s="44">
        <f>SUMIFS('Central Hudson Data'!$N:$N,'Central Hudson Data'!$B:$B,$B19,'Central Hudson Data'!$O:$O,BC$9,'Central Hudson Data'!$H:$H,"G")</f>
        <v>0</v>
      </c>
      <c r="BD19" s="44">
        <f>SUMIFS('Central Hudson Data'!$N:$N,'Central Hudson Data'!$B:$B,$B19,'Central Hudson Data'!$O:$O,BD$9,'Central Hudson Data'!$H:$H,"G")</f>
        <v>0</v>
      </c>
      <c r="BE19" s="44">
        <f>SUMIFS('Central Hudson Data'!$N:$N,'Central Hudson Data'!$B:$B,$B19,'Central Hudson Data'!$O:$O,BE$9,'Central Hudson Data'!$H:$H,"G")</f>
        <v>0</v>
      </c>
      <c r="BF19" s="44">
        <f>SUMIFS('Central Hudson Data'!$N:$N,'Central Hudson Data'!$B:$B,$B19,'Central Hudson Data'!$O:$O,BF$9,'Central Hudson Data'!$H:$H,"G")</f>
        <v>0</v>
      </c>
      <c r="BG19" s="44">
        <f>SUMIFS('Central Hudson Data'!$N:$N,'Central Hudson Data'!$B:$B,$B19,'Central Hudson Data'!$O:$O,BG$9,'Central Hudson Data'!$H:$H,"G")</f>
        <v>0</v>
      </c>
      <c r="BH19" s="45">
        <f>SUMIFS('Tank.Other.Fuels'!$G:$G,'Tank.Other.Fuels'!$B:$B,$B19,'Tank.Other.Fuels'!$D:$D,$BH$8,'Tank.Other.Fuels'!$E:$E,BH$9)</f>
        <v>0</v>
      </c>
      <c r="BI19" s="45">
        <f>SUMIFS('Tank.Other.Fuels'!$G:$G,'Tank.Other.Fuels'!$B:$B,$B19,'Tank.Other.Fuels'!$D:$D,$BH$8,'Tank.Other.Fuels'!$E:$E,BI$9)</f>
        <v>0</v>
      </c>
      <c r="BJ19" s="45">
        <f>SUMIFS('Tank.Other.Fuels'!$G:$G,'Tank.Other.Fuels'!$B:$B,$B19,'Tank.Other.Fuels'!$D:$D,$BH$8,'Tank.Other.Fuels'!$E:$E,BJ$9)</f>
        <v>0</v>
      </c>
      <c r="BK19" s="45">
        <f>SUMIFS('Tank.Other.Fuels'!$G:$G,'Tank.Other.Fuels'!$B:$B,$B19,'Tank.Other.Fuels'!$D:$D,$BH$8,'Tank.Other.Fuels'!$E:$E,BK$9)</f>
        <v>0</v>
      </c>
      <c r="BL19" s="45">
        <f>SUMIFS('Tank.Other.Fuels'!$G:$G,'Tank.Other.Fuels'!$B:$B,$B19,'Tank.Other.Fuels'!$D:$D,$BH$8,'Tank.Other.Fuels'!$E:$E,BL$9)</f>
        <v>0</v>
      </c>
      <c r="BM19" s="45">
        <f>SUMIFS('Tank.Other.Fuels'!$G:$G,'Tank.Other.Fuels'!$B:$B,$B19,'Tank.Other.Fuels'!$D:$D,$BM$8,'Tank.Other.Fuels'!$E:$E,BM$9)</f>
        <v>0</v>
      </c>
      <c r="BN19" s="45">
        <f>SUMIFS('Tank.Other.Fuels'!$G:$G,'Tank.Other.Fuels'!$B:$B,$B19,'Tank.Other.Fuels'!$D:$D,$BM$8,'Tank.Other.Fuels'!$E:$E,BN$9)</f>
        <v>0</v>
      </c>
      <c r="BO19" s="45">
        <f>SUMIFS('Tank.Other.Fuels'!$G:$G,'Tank.Other.Fuels'!$B:$B,$B19,'Tank.Other.Fuels'!$D:$D,$BM$8,'Tank.Other.Fuels'!$E:$E,BO$9)</f>
        <v>0</v>
      </c>
      <c r="BP19" s="45">
        <f>SUMIFS('Tank.Other.Fuels'!$G:$G,'Tank.Other.Fuels'!$B:$B,$B19,'Tank.Other.Fuels'!$D:$D,$BM$8,'Tank.Other.Fuels'!$E:$E,BP$9)</f>
        <v>0</v>
      </c>
      <c r="BQ19" s="45">
        <f>SUMIFS('Tank.Other.Fuels'!$G:$G,'Tank.Other.Fuels'!$B:$B,$B19,'Tank.Other.Fuels'!$D:$D,$BM$8,'Tank.Other.Fuels'!$E:$E,BQ$9)</f>
        <v>0</v>
      </c>
      <c r="BR19" s="46">
        <f t="shared" si="6"/>
        <v>472.35</v>
      </c>
      <c r="BS19" s="46">
        <f t="shared" si="7"/>
        <v>469.39000000000004</v>
      </c>
      <c r="BT19" s="46">
        <f t="shared" si="8"/>
        <v>528.64</v>
      </c>
      <c r="BU19" s="46">
        <f t="shared" si="9"/>
        <v>545.62</v>
      </c>
      <c r="BV19" s="46">
        <f t="shared" si="10"/>
        <v>0</v>
      </c>
      <c r="BW19" s="63">
        <f t="shared" si="11"/>
        <v>504</v>
      </c>
    </row>
    <row r="20" spans="1:75" x14ac:dyDescent="0.25">
      <c r="B20" s="15" t="s">
        <v>226</v>
      </c>
      <c r="C20" s="41" t="str">
        <f>VLOOKUP(B20,'Facility Master List'!$A$6:$D$60,3,FALSE)</f>
        <v>Administration Facilities</v>
      </c>
      <c r="D20" s="106">
        <f>SUMIFS('Central Hudson Data'!$I:$I,'Central Hudson Data'!$B:$B,$B20,'Central Hudson Data'!$O:$O,D$9,'Central Hudson Data'!$H:$H,"E")</f>
        <v>17146</v>
      </c>
      <c r="E20" s="47">
        <f>SUMIFS('Central Hudson Data'!$I:$I,'Central Hudson Data'!$B:$B,$B20,'Central Hudson Data'!$O:$O,E$9,'Central Hudson Data'!$H:$H,"E")</f>
        <v>17582</v>
      </c>
      <c r="F20" s="154">
        <f>SUMIFS('Central Hudson Data'!$I:$I,'Central Hudson Data'!$B:$B,$B20,'Central Hudson Data'!$O:$O,F$9,'Central Hudson Data'!$H:$H,"E")</f>
        <v>19070</v>
      </c>
      <c r="G20" s="154">
        <f>SUMIFS('Central Hudson Data'!$I:$I,'Central Hudson Data'!$B:$B,$B20,'Central Hudson Data'!$O:$O,G$9,'Central Hudson Data'!$H:$H,"E")</f>
        <v>18542</v>
      </c>
      <c r="H20" s="155">
        <f>SUMIFS('Central Hudson Data'!$I:$I,'Central Hudson Data'!$B:$B,$B20,'Central Hudson Data'!$O:$O,H$9,'Central Hudson Data'!$H:$H,"E")</f>
        <v>0</v>
      </c>
      <c r="I20" s="42">
        <f>SUMIFS('Central Hudson Data'!$I:$I,'Central Hudson Data'!$B:$B,$B20,'Central Hudson Data'!$O:$O,I$9,'Central Hudson Data'!$H:$H,"G")</f>
        <v>0</v>
      </c>
      <c r="J20" s="42">
        <f>SUMIFS('Central Hudson Data'!$I:$I,'Central Hudson Data'!$B:$B,$B20,'Central Hudson Data'!$O:$O,J$9,'Central Hudson Data'!$H:$H,"G")</f>
        <v>0</v>
      </c>
      <c r="K20" s="42">
        <f>SUMIFS('Central Hudson Data'!$I:$I,'Central Hudson Data'!$B:$B,$B20,'Central Hudson Data'!$O:$O,K$9,'Central Hudson Data'!$H:$H,"G")</f>
        <v>0</v>
      </c>
      <c r="L20" s="42">
        <f>SUMIFS('Central Hudson Data'!$I:$I,'Central Hudson Data'!$B:$B,$B20,'Central Hudson Data'!$O:$O,L$9,'Central Hudson Data'!$H:$H,"G")</f>
        <v>0</v>
      </c>
      <c r="M20" s="42">
        <f>SUMIFS('Central Hudson Data'!$I:$I,'Central Hudson Data'!$B:$B,$B20,'Central Hudson Data'!$O:$O,M$9,'Central Hudson Data'!$H:$H,"G")</f>
        <v>0</v>
      </c>
      <c r="N20" s="42">
        <f>SUMIFS('Tank.Other.Fuels'!$F:$F,'Tank.Other.Fuels'!$B:$B,$B20,'Tank.Other.Fuels'!$D:$D,$N$8,'Tank.Other.Fuels'!$E:$E,N$9)</f>
        <v>0</v>
      </c>
      <c r="O20" s="42">
        <f>SUMIFS('Tank.Other.Fuels'!$F:$F,'Tank.Other.Fuels'!$B:$B,$B20,'Tank.Other.Fuels'!$D:$D,$N$8,'Tank.Other.Fuels'!$E:$E,O$9)</f>
        <v>0</v>
      </c>
      <c r="P20" s="42">
        <f>SUMIFS('Tank.Other.Fuels'!$F:$F,'Tank.Other.Fuels'!$B:$B,$B20,'Tank.Other.Fuels'!$D:$D,$N$8,'Tank.Other.Fuels'!$E:$E,P$9)</f>
        <v>0</v>
      </c>
      <c r="Q20" s="42">
        <f>SUMIFS('Tank.Other.Fuels'!$F:$F,'Tank.Other.Fuels'!$B:$B,$B20,'Tank.Other.Fuels'!$D:$D,$N$8,'Tank.Other.Fuels'!$E:$E,Q$9)</f>
        <v>0</v>
      </c>
      <c r="R20" s="42">
        <f>SUMIFS('Tank.Other.Fuels'!$F:$F,'Tank.Other.Fuels'!$B:$B,$B20,'Tank.Other.Fuels'!$D:$D,$N$8,'Tank.Other.Fuels'!$E:$E,R$9)</f>
        <v>0</v>
      </c>
      <c r="S20" s="42">
        <f>SUMIFS('Tank.Other.Fuels'!$F:$F,'Tank.Other.Fuels'!$B:$B,$B20,'Tank.Other.Fuels'!$D:$D,$S$8,'Tank.Other.Fuels'!$E:$E,S$9)</f>
        <v>2454.8000000000002</v>
      </c>
      <c r="T20" s="42">
        <f>SUMIFS('Tank.Other.Fuels'!$F:$F,'Tank.Other.Fuels'!$B:$B,$B20,'Tank.Other.Fuels'!$D:$D,$S$8,'Tank.Other.Fuels'!$E:$E,T$9)</f>
        <v>1041.5999999999999</v>
      </c>
      <c r="U20" s="42">
        <f>SUMIFS('Tank.Other.Fuels'!$F:$F,'Tank.Other.Fuels'!$B:$B,$B20,'Tank.Other.Fuels'!$D:$D,$S$8,'Tank.Other.Fuels'!$E:$E,U$9)</f>
        <v>1422.3</v>
      </c>
      <c r="V20" s="42">
        <f>SUMIFS('Tank.Other.Fuels'!$F:$F,'Tank.Other.Fuels'!$B:$B,$B20,'Tank.Other.Fuels'!$D:$D,$S$8,'Tank.Other.Fuels'!$E:$E,V$9)</f>
        <v>1958.1</v>
      </c>
      <c r="W20" s="42">
        <f>SUMIFS('Tank.Other.Fuels'!$F:$F,'Tank.Other.Fuels'!$B:$B,$B20,'Tank.Other.Fuels'!$D:$D,$S$8,'Tank.Other.Fuels'!$E:$E,W$9)</f>
        <v>0</v>
      </c>
      <c r="X20" s="156">
        <f>D20/1000*'Factors and Sources'!$C$6/1000</f>
        <v>2.3016447480000002</v>
      </c>
      <c r="Y20" s="157">
        <f>E20/1000*'Factors and Sources'!$C$6/1000</f>
        <v>2.360172516</v>
      </c>
      <c r="Z20" s="157">
        <f>F20/1000*'Factors and Sources'!$C$6/1000</f>
        <v>2.5599186599999997</v>
      </c>
      <c r="AA20" s="157">
        <f>G20/1000*'Factors and Sources'!$C$6/1000</f>
        <v>2.4890409960000004</v>
      </c>
      <c r="AB20" s="157">
        <f>H20/1000*'Factors and Sources'!$C$6/1000</f>
        <v>0</v>
      </c>
      <c r="AC20" s="43">
        <f>I20/10*'Factors and Sources'!$C$7/1000</f>
        <v>0</v>
      </c>
      <c r="AD20" s="43">
        <f>J20/10*'Factors and Sources'!$C$7/1000</f>
        <v>0</v>
      </c>
      <c r="AE20" s="43">
        <f>K20/10*'Factors and Sources'!$C$7/1000</f>
        <v>0</v>
      </c>
      <c r="AF20" s="43">
        <f>L20/10*'Factors and Sources'!$C$7/1000</f>
        <v>0</v>
      </c>
      <c r="AG20" s="43">
        <f>M20/10*'Factors and Sources'!$C$7/1000</f>
        <v>0</v>
      </c>
      <c r="AH20" s="43">
        <f>N20*'Factors and Sources'!$C$8/1000</f>
        <v>0</v>
      </c>
      <c r="AI20" s="43">
        <f>O20*'Factors and Sources'!$C$8/1000</f>
        <v>0</v>
      </c>
      <c r="AJ20" s="43">
        <f>P20*'Factors and Sources'!$C$8/1000</f>
        <v>0</v>
      </c>
      <c r="AK20" s="43">
        <f>Q20*'Factors and Sources'!$C$8/1000</f>
        <v>0</v>
      </c>
      <c r="AL20" s="43">
        <f>R20*'Factors and Sources'!$C$8/1000</f>
        <v>0</v>
      </c>
      <c r="AM20" s="43">
        <f>S20*'Factors and Sources'!$C$9/1000</f>
        <v>25.415846213859982</v>
      </c>
      <c r="AN20" s="43">
        <f>T20*'Factors and Sources'!$C$9/1000</f>
        <v>10.784237174660484</v>
      </c>
      <c r="AO20" s="43">
        <f>U20*'Factors and Sources'!$C$9/1000</f>
        <v>14.725826165053386</v>
      </c>
      <c r="AP20" s="43">
        <f>V20*'Factors and Sources'!$C$9/1000</f>
        <v>20.27324770708784</v>
      </c>
      <c r="AQ20" s="43">
        <f>W20*'Factors and Sources'!$C$9/1000</f>
        <v>0</v>
      </c>
      <c r="AR20" s="43">
        <f t="shared" ref="AR20:AV21" si="12">X20+AC20+AH20+AM20</f>
        <v>27.717490961859983</v>
      </c>
      <c r="AS20" s="43">
        <f t="shared" si="12"/>
        <v>13.144409690660485</v>
      </c>
      <c r="AT20" s="43">
        <f t="shared" si="12"/>
        <v>17.285744825053385</v>
      </c>
      <c r="AU20" s="43">
        <f t="shared" si="12"/>
        <v>22.76228870308784</v>
      </c>
      <c r="AV20" s="43">
        <f t="shared" si="12"/>
        <v>0</v>
      </c>
      <c r="AW20" s="158">
        <f t="shared" si="5"/>
        <v>20.227483545165423</v>
      </c>
      <c r="AX20" s="96">
        <f>SUMIFS('Central Hudson Data'!$N:$N,'Central Hudson Data'!$B:$B,$B20,'Central Hudson Data'!$O:$O,AX$9,'Central Hudson Data'!$H:$H,"E")</f>
        <v>3650.2900000000004</v>
      </c>
      <c r="AY20" s="159">
        <f>SUMIFS('Central Hudson Data'!$N:$N,'Central Hudson Data'!$B:$B,$B20,'Central Hudson Data'!$O:$O,AY$9,'Central Hudson Data'!$H:$H,"E")</f>
        <v>3647.6499999999996</v>
      </c>
      <c r="AZ20" s="159">
        <f>SUMIFS('Central Hudson Data'!$N:$N,'Central Hudson Data'!$B:$B,$B20,'Central Hudson Data'!$O:$O,AZ$9,'Central Hudson Data'!$H:$H,"E")</f>
        <v>3793.2200000000003</v>
      </c>
      <c r="BA20" s="159">
        <f>SUMIFS('Central Hudson Data'!$N:$N,'Central Hudson Data'!$B:$B,$B20,'Central Hudson Data'!$O:$O,BA$9,'Central Hudson Data'!$H:$H,"E")</f>
        <v>3602.4500000000003</v>
      </c>
      <c r="BB20" s="159">
        <f>SUMIFS('Central Hudson Data'!$N:$N,'Central Hudson Data'!$B:$B,$B20,'Central Hudson Data'!$O:$O,BB$9,'Central Hudson Data'!$H:$H,"E")</f>
        <v>0</v>
      </c>
      <c r="BC20" s="159">
        <f>SUMIFS('Central Hudson Data'!$N:$N,'Central Hudson Data'!$B:$B,$B20,'Central Hudson Data'!$O:$O,BC$9,'Central Hudson Data'!$H:$H,"G")</f>
        <v>0</v>
      </c>
      <c r="BD20" s="159">
        <f>SUMIFS('Central Hudson Data'!$N:$N,'Central Hudson Data'!$B:$B,$B20,'Central Hudson Data'!$O:$O,BD$9,'Central Hudson Data'!$H:$H,"G")</f>
        <v>0</v>
      </c>
      <c r="BE20" s="159">
        <f>SUMIFS('Central Hudson Data'!$N:$N,'Central Hudson Data'!$B:$B,$B20,'Central Hudson Data'!$O:$O,BE$9,'Central Hudson Data'!$H:$H,"G")</f>
        <v>0</v>
      </c>
      <c r="BF20" s="159">
        <f>SUMIFS('Central Hudson Data'!$N:$N,'Central Hudson Data'!$B:$B,$B20,'Central Hudson Data'!$O:$O,BF$9,'Central Hudson Data'!$H:$H,"G")</f>
        <v>0</v>
      </c>
      <c r="BG20" s="159">
        <f>SUMIFS('Central Hudson Data'!$N:$N,'Central Hudson Data'!$B:$B,$B20,'Central Hudson Data'!$O:$O,BG$9,'Central Hudson Data'!$H:$H,"G")</f>
        <v>0</v>
      </c>
      <c r="BH20" s="45">
        <f>SUMIFS('Tank.Other.Fuels'!$G:$G,'Tank.Other.Fuels'!$B:$B,$B20,'Tank.Other.Fuels'!$D:$D,$BH$8,'Tank.Other.Fuels'!$E:$E,BH$9)</f>
        <v>0</v>
      </c>
      <c r="BI20" s="45">
        <f>SUMIFS('Tank.Other.Fuels'!$G:$G,'Tank.Other.Fuels'!$B:$B,$B20,'Tank.Other.Fuels'!$D:$D,$BH$8,'Tank.Other.Fuels'!$E:$E,BI$9)</f>
        <v>0</v>
      </c>
      <c r="BJ20" s="45">
        <f>SUMIFS('Tank.Other.Fuels'!$G:$G,'Tank.Other.Fuels'!$B:$B,$B20,'Tank.Other.Fuels'!$D:$D,$BH$8,'Tank.Other.Fuels'!$E:$E,BJ$9)</f>
        <v>0</v>
      </c>
      <c r="BK20" s="45">
        <f>SUMIFS('Tank.Other.Fuels'!$G:$G,'Tank.Other.Fuels'!$B:$B,$B20,'Tank.Other.Fuels'!$D:$D,$BH$8,'Tank.Other.Fuels'!$E:$E,BK$9)</f>
        <v>0</v>
      </c>
      <c r="BL20" s="45">
        <f>SUMIFS('Tank.Other.Fuels'!$G:$G,'Tank.Other.Fuels'!$B:$B,$B20,'Tank.Other.Fuels'!$D:$D,$BH$8,'Tank.Other.Fuels'!$E:$E,BL$9)</f>
        <v>0</v>
      </c>
      <c r="BM20" s="45">
        <f>SUMIFS('Tank.Other.Fuels'!$G:$G,'Tank.Other.Fuels'!$B:$B,$B20,'Tank.Other.Fuels'!$D:$D,$BM$8,'Tank.Other.Fuels'!$E:$E,BM$9)</f>
        <v>4977.66</v>
      </c>
      <c r="BN20" s="45">
        <f>SUMIFS('Tank.Other.Fuels'!$G:$G,'Tank.Other.Fuels'!$B:$B,$B20,'Tank.Other.Fuels'!$D:$D,$BM$8,'Tank.Other.Fuels'!$E:$E,BN$9)</f>
        <v>1407.56</v>
      </c>
      <c r="BO20" s="45">
        <f>SUMIFS('Tank.Other.Fuels'!$G:$G,'Tank.Other.Fuels'!$B:$B,$B20,'Tank.Other.Fuels'!$D:$D,$BM$8,'Tank.Other.Fuels'!$E:$E,BO$9)</f>
        <v>2585.09</v>
      </c>
      <c r="BP20" s="45">
        <f>SUMIFS('Tank.Other.Fuels'!$G:$G,'Tank.Other.Fuels'!$B:$B,$B20,'Tank.Other.Fuels'!$D:$D,$BM$8,'Tank.Other.Fuels'!$E:$E,BP$9)</f>
        <v>4294.51</v>
      </c>
      <c r="BQ20" s="45">
        <f>SUMIFS('Tank.Other.Fuels'!$G:$G,'Tank.Other.Fuels'!$B:$B,$B20,'Tank.Other.Fuels'!$D:$D,$BM$8,'Tank.Other.Fuels'!$E:$E,BQ$9)</f>
        <v>0</v>
      </c>
      <c r="BR20" s="46">
        <f t="shared" ref="BR20:BV21" si="13">AX20+BC20+BH20+BM20</f>
        <v>8627.9500000000007</v>
      </c>
      <c r="BS20" s="46">
        <f t="shared" si="13"/>
        <v>5055.2099999999991</v>
      </c>
      <c r="BT20" s="46">
        <f t="shared" si="13"/>
        <v>6378.31</v>
      </c>
      <c r="BU20" s="46">
        <f t="shared" si="13"/>
        <v>7896.9600000000009</v>
      </c>
      <c r="BV20" s="46">
        <f t="shared" si="13"/>
        <v>0</v>
      </c>
      <c r="BW20" s="63">
        <f t="shared" si="11"/>
        <v>6989.6075000000001</v>
      </c>
    </row>
    <row r="21" spans="1:75" x14ac:dyDescent="0.25">
      <c r="B21" s="28"/>
      <c r="C21" s="41" t="e">
        <f>VLOOKUP(B21,'Facility Master List'!$A$6:$D$60,3,FALSE)</f>
        <v>#N/A</v>
      </c>
      <c r="D21" s="106">
        <f>SUMIFS('Central Hudson Data'!$I:$I,'Central Hudson Data'!$B:$B,$B21,'Central Hudson Data'!$O:$O,D$9,'Central Hudson Data'!$H:$H,"E")</f>
        <v>0</v>
      </c>
      <c r="E21" s="47">
        <f>SUMIFS('Central Hudson Data'!$I:$I,'Central Hudson Data'!$B:$B,$B21,'Central Hudson Data'!$O:$O,E$9,'Central Hudson Data'!$H:$H,"E")</f>
        <v>0</v>
      </c>
      <c r="F21" s="154">
        <f>SUMIFS('Central Hudson Data'!$I:$I,'Central Hudson Data'!$B:$B,$B21,'Central Hudson Data'!$O:$O,F$9,'Central Hudson Data'!$H:$H,"E")</f>
        <v>0</v>
      </c>
      <c r="G21" s="154">
        <f>SUMIFS('Central Hudson Data'!$I:$I,'Central Hudson Data'!$B:$B,$B21,'Central Hudson Data'!$O:$O,G$9,'Central Hudson Data'!$H:$H,"E")</f>
        <v>0</v>
      </c>
      <c r="H21" s="155">
        <f>SUMIFS('Central Hudson Data'!$I:$I,'Central Hudson Data'!$B:$B,$B21,'Central Hudson Data'!$O:$O,H$9,'Central Hudson Data'!$H:$H,"E")</f>
        <v>0</v>
      </c>
      <c r="I21" s="42">
        <f>SUMIFS('Central Hudson Data'!$I:$I,'Central Hudson Data'!$B:$B,$B21,'Central Hudson Data'!$O:$O,I$9,'Central Hudson Data'!$H:$H,"G")</f>
        <v>0</v>
      </c>
      <c r="J21" s="42">
        <f>SUMIFS('Central Hudson Data'!$I:$I,'Central Hudson Data'!$B:$B,$B21,'Central Hudson Data'!$O:$O,J$9,'Central Hudson Data'!$H:$H,"G")</f>
        <v>0</v>
      </c>
      <c r="K21" s="42">
        <f>SUMIFS('Central Hudson Data'!$I:$I,'Central Hudson Data'!$B:$B,$B21,'Central Hudson Data'!$O:$O,K$9,'Central Hudson Data'!$H:$H,"G")</f>
        <v>0</v>
      </c>
      <c r="L21" s="42">
        <f>SUMIFS('Central Hudson Data'!$I:$I,'Central Hudson Data'!$B:$B,$B21,'Central Hudson Data'!$O:$O,L$9,'Central Hudson Data'!$H:$H,"G")</f>
        <v>0</v>
      </c>
      <c r="M21" s="42">
        <f>SUMIFS('Central Hudson Data'!$I:$I,'Central Hudson Data'!$B:$B,$B21,'Central Hudson Data'!$O:$O,M$9,'Central Hudson Data'!$H:$H,"G")</f>
        <v>0</v>
      </c>
      <c r="N21" s="42">
        <f>SUMIFS('Tank.Other.Fuels'!$F:$F,'Tank.Other.Fuels'!$B:$B,$B21,'Tank.Other.Fuels'!$D:$D,$N$8,'Tank.Other.Fuels'!$E:$E,N$9)</f>
        <v>0</v>
      </c>
      <c r="O21" s="42">
        <f>SUMIFS('Tank.Other.Fuels'!$F:$F,'Tank.Other.Fuels'!$B:$B,$B21,'Tank.Other.Fuels'!$D:$D,$N$8,'Tank.Other.Fuels'!$E:$E,O$9)</f>
        <v>0</v>
      </c>
      <c r="P21" s="42">
        <f>SUMIFS('Tank.Other.Fuels'!$F:$F,'Tank.Other.Fuels'!$B:$B,$B21,'Tank.Other.Fuels'!$D:$D,$N$8,'Tank.Other.Fuels'!$E:$E,P$9)</f>
        <v>0</v>
      </c>
      <c r="Q21" s="42">
        <f>SUMIFS('Tank.Other.Fuels'!$F:$F,'Tank.Other.Fuels'!$B:$B,$B21,'Tank.Other.Fuels'!$D:$D,$N$8,'Tank.Other.Fuels'!$E:$E,Q$9)</f>
        <v>0</v>
      </c>
      <c r="R21" s="42">
        <f>SUMIFS('Tank.Other.Fuels'!$F:$F,'Tank.Other.Fuels'!$B:$B,$B21,'Tank.Other.Fuels'!$D:$D,$N$8,'Tank.Other.Fuels'!$E:$E,R$9)</f>
        <v>0</v>
      </c>
      <c r="S21" s="42">
        <f>SUMIFS('Tank.Other.Fuels'!$F:$F,'Tank.Other.Fuels'!$B:$B,$B21,'Tank.Other.Fuels'!$D:$D,$S$8,'Tank.Other.Fuels'!$E:$E,S$9)</f>
        <v>0</v>
      </c>
      <c r="T21" s="42">
        <f>SUMIFS('Tank.Other.Fuels'!$F:$F,'Tank.Other.Fuels'!$B:$B,$B21,'Tank.Other.Fuels'!$D:$D,$S$8,'Tank.Other.Fuels'!$E:$E,T$9)</f>
        <v>0</v>
      </c>
      <c r="U21" s="42">
        <f>SUMIFS('Tank.Other.Fuels'!$F:$F,'Tank.Other.Fuels'!$B:$B,$B21,'Tank.Other.Fuels'!$D:$D,$S$8,'Tank.Other.Fuels'!$E:$E,U$9)</f>
        <v>0</v>
      </c>
      <c r="V21" s="42">
        <f>SUMIFS('Tank.Other.Fuels'!$F:$F,'Tank.Other.Fuels'!$B:$B,$B21,'Tank.Other.Fuels'!$D:$D,$S$8,'Tank.Other.Fuels'!$E:$E,V$9)</f>
        <v>0</v>
      </c>
      <c r="W21" s="42">
        <f>SUMIFS('Tank.Other.Fuels'!$F:$F,'Tank.Other.Fuels'!$B:$B,$B21,'Tank.Other.Fuels'!$D:$D,$S$8,'Tank.Other.Fuels'!$E:$E,W$9)</f>
        <v>0</v>
      </c>
      <c r="X21" s="156">
        <f>D21/1000*'Factors and Sources'!$C$6/1000</f>
        <v>0</v>
      </c>
      <c r="Y21" s="157">
        <f>E21/1000*'Factors and Sources'!$C$6/1000</f>
        <v>0</v>
      </c>
      <c r="Z21" s="157">
        <f>F21/1000*'Factors and Sources'!$C$6/1000</f>
        <v>0</v>
      </c>
      <c r="AA21" s="157">
        <f>G21/1000*'Factors and Sources'!$C$6/1000</f>
        <v>0</v>
      </c>
      <c r="AB21" s="157">
        <f>H21/1000*'Factors and Sources'!$C$6/1000</f>
        <v>0</v>
      </c>
      <c r="AC21" s="43">
        <f>I21/10*'Factors and Sources'!$C$7/1000</f>
        <v>0</v>
      </c>
      <c r="AD21" s="43">
        <f>J21/10*'Factors and Sources'!$C$7/1000</f>
        <v>0</v>
      </c>
      <c r="AE21" s="43">
        <f>K21/10*'Factors and Sources'!$C$7/1000</f>
        <v>0</v>
      </c>
      <c r="AF21" s="43">
        <f>L21/10*'Factors and Sources'!$C$7/1000</f>
        <v>0</v>
      </c>
      <c r="AG21" s="43">
        <f>M21/10*'Factors and Sources'!$C$7/1000</f>
        <v>0</v>
      </c>
      <c r="AH21" s="43">
        <f>N21*'Factors and Sources'!$C$8/1000</f>
        <v>0</v>
      </c>
      <c r="AI21" s="43">
        <f>O21*'Factors and Sources'!$C$8/1000</f>
        <v>0</v>
      </c>
      <c r="AJ21" s="43">
        <f>P21*'Factors and Sources'!$C$8/1000</f>
        <v>0</v>
      </c>
      <c r="AK21" s="43">
        <f>Q21*'Factors and Sources'!$C$8/1000</f>
        <v>0</v>
      </c>
      <c r="AL21" s="43">
        <f>R21*'Factors and Sources'!$C$8/1000</f>
        <v>0</v>
      </c>
      <c r="AM21" s="43">
        <f>S21*'Factors and Sources'!$C$9/1000</f>
        <v>0</v>
      </c>
      <c r="AN21" s="43">
        <f>T21*'Factors and Sources'!$C$9/1000</f>
        <v>0</v>
      </c>
      <c r="AO21" s="43">
        <f>U21*'Factors and Sources'!$C$9/1000</f>
        <v>0</v>
      </c>
      <c r="AP21" s="43">
        <f>V21*'Factors and Sources'!$C$9/1000</f>
        <v>0</v>
      </c>
      <c r="AQ21" s="43">
        <f>W21*'Factors and Sources'!$C$9/1000</f>
        <v>0</v>
      </c>
      <c r="AR21" s="43">
        <f t="shared" si="12"/>
        <v>0</v>
      </c>
      <c r="AS21" s="43">
        <f t="shared" si="12"/>
        <v>0</v>
      </c>
      <c r="AT21" s="43">
        <f t="shared" si="12"/>
        <v>0</v>
      </c>
      <c r="AU21" s="43">
        <f t="shared" si="12"/>
        <v>0</v>
      </c>
      <c r="AV21" s="43">
        <f t="shared" si="12"/>
        <v>0</v>
      </c>
      <c r="AW21" s="158" t="str">
        <f t="shared" si="5"/>
        <v/>
      </c>
      <c r="AX21" s="96">
        <f>SUMIFS('Central Hudson Data'!$N:$N,'Central Hudson Data'!$B:$B,$B21,'Central Hudson Data'!$O:$O,AX$9,'Central Hudson Data'!$H:$H,"E")</f>
        <v>0</v>
      </c>
      <c r="AY21" s="159">
        <f>SUMIFS('Central Hudson Data'!$N:$N,'Central Hudson Data'!$B:$B,$B21,'Central Hudson Data'!$O:$O,AY$9,'Central Hudson Data'!$H:$H,"E")</f>
        <v>0</v>
      </c>
      <c r="AZ21" s="159">
        <f>SUMIFS('Central Hudson Data'!$N:$N,'Central Hudson Data'!$B:$B,$B21,'Central Hudson Data'!$O:$O,AZ$9,'Central Hudson Data'!$H:$H,"E")</f>
        <v>0</v>
      </c>
      <c r="BA21" s="159">
        <f>SUMIFS('Central Hudson Data'!$N:$N,'Central Hudson Data'!$B:$B,$B21,'Central Hudson Data'!$O:$O,BA$9,'Central Hudson Data'!$H:$H,"E")</f>
        <v>0</v>
      </c>
      <c r="BB21" s="159">
        <f>SUMIFS('Central Hudson Data'!$N:$N,'Central Hudson Data'!$B:$B,$B21,'Central Hudson Data'!$O:$O,BB$9,'Central Hudson Data'!$H:$H,"E")</f>
        <v>0</v>
      </c>
      <c r="BC21" s="44">
        <f>SUMIFS('Central Hudson Data'!$N:$N,'Central Hudson Data'!$B:$B,$B21,'Central Hudson Data'!$O:$O,BC$9,'Central Hudson Data'!$H:$H,"G")</f>
        <v>0</v>
      </c>
      <c r="BD21" s="44">
        <f>SUMIFS('Central Hudson Data'!$N:$N,'Central Hudson Data'!$B:$B,$B21,'Central Hudson Data'!$O:$O,BD$9,'Central Hudson Data'!$H:$H,"G")</f>
        <v>0</v>
      </c>
      <c r="BE21" s="44">
        <f>SUMIFS('Central Hudson Data'!$N:$N,'Central Hudson Data'!$B:$B,$B21,'Central Hudson Data'!$O:$O,BE$9,'Central Hudson Data'!$H:$H,"G")</f>
        <v>0</v>
      </c>
      <c r="BF21" s="44">
        <f>SUMIFS('Central Hudson Data'!$N:$N,'Central Hudson Data'!$B:$B,$B21,'Central Hudson Data'!$O:$O,BF$9,'Central Hudson Data'!$H:$H,"G")</f>
        <v>0</v>
      </c>
      <c r="BG21" s="44">
        <f>SUMIFS('Central Hudson Data'!$N:$N,'Central Hudson Data'!$B:$B,$B21,'Central Hudson Data'!$O:$O,BG$9,'Central Hudson Data'!$H:$H,"G")</f>
        <v>0</v>
      </c>
      <c r="BH21" s="45">
        <f>SUMIFS('Tank.Other.Fuels'!$G:$G,'Tank.Other.Fuels'!$B:$B,$B21,'Tank.Other.Fuels'!$D:$D,$BH$8,'Tank.Other.Fuels'!$E:$E,BH$9)</f>
        <v>0</v>
      </c>
      <c r="BI21" s="45">
        <f>SUMIFS('Tank.Other.Fuels'!$G:$G,'Tank.Other.Fuels'!$B:$B,$B21,'Tank.Other.Fuels'!$D:$D,$BH$8,'Tank.Other.Fuels'!$E:$E,BI$9)</f>
        <v>0</v>
      </c>
      <c r="BJ21" s="45">
        <f>SUMIFS('Tank.Other.Fuels'!$G:$G,'Tank.Other.Fuels'!$B:$B,$B21,'Tank.Other.Fuels'!$D:$D,$BH$8,'Tank.Other.Fuels'!$E:$E,BJ$9)</f>
        <v>0</v>
      </c>
      <c r="BK21" s="45">
        <f>SUMIFS('Tank.Other.Fuels'!$G:$G,'Tank.Other.Fuels'!$B:$B,$B21,'Tank.Other.Fuels'!$D:$D,$BH$8,'Tank.Other.Fuels'!$E:$E,BK$9)</f>
        <v>0</v>
      </c>
      <c r="BL21" s="45">
        <f>SUMIFS('Tank.Other.Fuels'!$G:$G,'Tank.Other.Fuels'!$B:$B,$B21,'Tank.Other.Fuels'!$D:$D,$BH$8,'Tank.Other.Fuels'!$E:$E,BL$9)</f>
        <v>0</v>
      </c>
      <c r="BM21" s="45">
        <f>SUMIFS('Tank.Other.Fuels'!$G:$G,'Tank.Other.Fuels'!$B:$B,$B21,'Tank.Other.Fuels'!$D:$D,$BM$8,'Tank.Other.Fuels'!$E:$E,BM$9)</f>
        <v>0</v>
      </c>
      <c r="BN21" s="45">
        <f>SUMIFS('Tank.Other.Fuels'!$G:$G,'Tank.Other.Fuels'!$B:$B,$B21,'Tank.Other.Fuels'!$D:$D,$BM$8,'Tank.Other.Fuels'!$E:$E,BN$9)</f>
        <v>0</v>
      </c>
      <c r="BO21" s="45">
        <f>SUMIFS('Tank.Other.Fuels'!$G:$G,'Tank.Other.Fuels'!$B:$B,$B21,'Tank.Other.Fuels'!$D:$D,$BM$8,'Tank.Other.Fuels'!$E:$E,BO$9)</f>
        <v>0</v>
      </c>
      <c r="BP21" s="45">
        <f>SUMIFS('Tank.Other.Fuels'!$G:$G,'Tank.Other.Fuels'!$B:$B,$B21,'Tank.Other.Fuels'!$D:$D,$BM$8,'Tank.Other.Fuels'!$E:$E,BP$9)</f>
        <v>0</v>
      </c>
      <c r="BQ21" s="45">
        <f>SUMIFS('Tank.Other.Fuels'!$G:$G,'Tank.Other.Fuels'!$B:$B,$B21,'Tank.Other.Fuels'!$D:$D,$BM$8,'Tank.Other.Fuels'!$E:$E,BQ$9)</f>
        <v>0</v>
      </c>
      <c r="BR21" s="46">
        <f t="shared" si="13"/>
        <v>0</v>
      </c>
      <c r="BS21" s="46">
        <f t="shared" si="13"/>
        <v>0</v>
      </c>
      <c r="BT21" s="46">
        <f t="shared" si="13"/>
        <v>0</v>
      </c>
      <c r="BU21" s="46">
        <f t="shared" si="13"/>
        <v>0</v>
      </c>
      <c r="BV21" s="46">
        <f t="shared" si="13"/>
        <v>0</v>
      </c>
      <c r="BW21" s="63" t="str">
        <f t="shared" si="11"/>
        <v/>
      </c>
    </row>
    <row r="22" spans="1:75" x14ac:dyDescent="0.25">
      <c r="D22" s="107"/>
      <c r="E22" s="48"/>
      <c r="F22" s="48"/>
      <c r="G22" s="48"/>
      <c r="H22" s="48"/>
      <c r="I22" s="48"/>
      <c r="J22" s="48"/>
      <c r="K22" s="48"/>
      <c r="L22" s="48"/>
      <c r="M22" s="48"/>
      <c r="N22" s="48"/>
      <c r="O22" s="48"/>
      <c r="P22" s="48"/>
      <c r="Q22" s="48"/>
      <c r="R22" s="48"/>
      <c r="S22" s="49"/>
      <c r="T22" s="49"/>
      <c r="U22" s="49"/>
      <c r="V22" s="49"/>
      <c r="W22" s="108"/>
      <c r="X22" s="104"/>
      <c r="Y22" s="50"/>
      <c r="Z22" s="50"/>
      <c r="AA22" s="50"/>
      <c r="AB22" s="50"/>
      <c r="AC22" s="50"/>
      <c r="AD22" s="50"/>
      <c r="AE22" s="50"/>
      <c r="AF22" s="50"/>
      <c r="AG22" s="50"/>
      <c r="AH22" s="51"/>
      <c r="AI22" s="51"/>
      <c r="AJ22" s="51"/>
      <c r="AK22" s="51"/>
      <c r="AL22" s="51"/>
      <c r="AM22" s="50"/>
      <c r="AN22" s="50"/>
      <c r="AO22" s="50"/>
      <c r="AP22" s="50"/>
      <c r="AQ22" s="50"/>
      <c r="AR22" s="49"/>
      <c r="AS22" s="49"/>
      <c r="AT22" s="49"/>
      <c r="AW22" s="97"/>
      <c r="AX22" s="67"/>
      <c r="AY22" s="68"/>
      <c r="AZ22" s="68"/>
      <c r="BA22" s="68"/>
      <c r="BB22" s="68"/>
      <c r="BC22" s="68"/>
      <c r="BD22" s="68"/>
      <c r="BE22" s="68"/>
      <c r="BF22" s="68"/>
      <c r="BG22" s="68"/>
      <c r="BH22" s="68"/>
      <c r="BI22" s="68"/>
      <c r="BJ22" s="68"/>
      <c r="BK22" s="68"/>
      <c r="BL22" s="68"/>
      <c r="BM22" s="68"/>
      <c r="BN22" s="68"/>
      <c r="BO22" s="68"/>
      <c r="BP22" s="68"/>
      <c r="BQ22" s="68"/>
      <c r="BR22" s="68"/>
      <c r="BS22" s="68"/>
      <c r="BT22" s="68"/>
      <c r="BW22" s="97"/>
    </row>
    <row r="23" spans="1:75" ht="15.75" thickBot="1" x14ac:dyDescent="0.3">
      <c r="B23" s="52" t="s">
        <v>58</v>
      </c>
      <c r="C23" s="105"/>
      <c r="D23" s="98">
        <f t="shared" ref="D23:AI23" si="14">SUM(D10:D21)</f>
        <v>135344</v>
      </c>
      <c r="E23" s="99">
        <f t="shared" si="14"/>
        <v>133533</v>
      </c>
      <c r="F23" s="99">
        <f t="shared" si="14"/>
        <v>127050</v>
      </c>
      <c r="G23" s="99">
        <f t="shared" si="14"/>
        <v>126512</v>
      </c>
      <c r="H23" s="99">
        <f t="shared" si="14"/>
        <v>0</v>
      </c>
      <c r="I23" s="99">
        <f t="shared" si="14"/>
        <v>0</v>
      </c>
      <c r="J23" s="99">
        <f t="shared" si="14"/>
        <v>0</v>
      </c>
      <c r="K23" s="99">
        <f t="shared" si="14"/>
        <v>0</v>
      </c>
      <c r="L23" s="99">
        <f t="shared" si="14"/>
        <v>0</v>
      </c>
      <c r="M23" s="99">
        <f t="shared" si="14"/>
        <v>0</v>
      </c>
      <c r="N23" s="99">
        <f t="shared" si="14"/>
        <v>2207.6</v>
      </c>
      <c r="O23" s="99">
        <f t="shared" si="14"/>
        <v>909.90000000000009</v>
      </c>
      <c r="P23" s="99">
        <f t="shared" si="14"/>
        <v>1464.7</v>
      </c>
      <c r="Q23" s="99">
        <f t="shared" si="14"/>
        <v>1553.8000000000002</v>
      </c>
      <c r="R23" s="99">
        <f t="shared" si="14"/>
        <v>0</v>
      </c>
      <c r="S23" s="99">
        <f t="shared" si="14"/>
        <v>2454.8000000000002</v>
      </c>
      <c r="T23" s="99">
        <f t="shared" si="14"/>
        <v>1041.5999999999999</v>
      </c>
      <c r="U23" s="99">
        <f t="shared" si="14"/>
        <v>1422.3</v>
      </c>
      <c r="V23" s="99">
        <f t="shared" si="14"/>
        <v>1958.1</v>
      </c>
      <c r="W23" s="100">
        <f t="shared" si="14"/>
        <v>0</v>
      </c>
      <c r="X23" s="98">
        <f t="shared" si="14"/>
        <v>18.168307872</v>
      </c>
      <c r="Y23" s="99">
        <f t="shared" si="14"/>
        <v>17.925202853999998</v>
      </c>
      <c r="Z23" s="99">
        <f t="shared" si="14"/>
        <v>17.054937900000002</v>
      </c>
      <c r="AA23" s="99">
        <f t="shared" si="14"/>
        <v>16.982717855999997</v>
      </c>
      <c r="AB23" s="99">
        <f t="shared" si="14"/>
        <v>0</v>
      </c>
      <c r="AC23" s="99">
        <f t="shared" si="14"/>
        <v>0</v>
      </c>
      <c r="AD23" s="99">
        <f t="shared" si="14"/>
        <v>0</v>
      </c>
      <c r="AE23" s="99">
        <f t="shared" si="14"/>
        <v>0</v>
      </c>
      <c r="AF23" s="99">
        <f t="shared" si="14"/>
        <v>0</v>
      </c>
      <c r="AG23" s="99">
        <f t="shared" si="14"/>
        <v>0</v>
      </c>
      <c r="AH23" s="99">
        <f t="shared" si="14"/>
        <v>12.958792844118262</v>
      </c>
      <c r="AI23" s="99">
        <f t="shared" si="14"/>
        <v>5.3411875379884064</v>
      </c>
      <c r="AJ23" s="99">
        <f t="shared" ref="AJ23:BO23" si="15">SUM(AJ10:AJ21)</f>
        <v>8.5979089865827234</v>
      </c>
      <c r="AK23" s="99">
        <f t="shared" si="15"/>
        <v>9.1209332855548801</v>
      </c>
      <c r="AL23" s="99">
        <f t="shared" si="15"/>
        <v>0</v>
      </c>
      <c r="AM23" s="99">
        <f t="shared" si="15"/>
        <v>25.415846213859982</v>
      </c>
      <c r="AN23" s="99">
        <f t="shared" si="15"/>
        <v>10.784237174660484</v>
      </c>
      <c r="AO23" s="99">
        <f t="shared" si="15"/>
        <v>14.725826165053386</v>
      </c>
      <c r="AP23" s="99">
        <f t="shared" si="15"/>
        <v>20.27324770708784</v>
      </c>
      <c r="AQ23" s="99">
        <f t="shared" si="15"/>
        <v>0</v>
      </c>
      <c r="AR23" s="99">
        <f t="shared" si="15"/>
        <v>56.542946929978243</v>
      </c>
      <c r="AS23" s="99">
        <f t="shared" si="15"/>
        <v>34.050627566648892</v>
      </c>
      <c r="AT23" s="99">
        <f t="shared" si="15"/>
        <v>40.378673051636113</v>
      </c>
      <c r="AU23" s="99">
        <f t="shared" si="15"/>
        <v>46.376898848642718</v>
      </c>
      <c r="AV23" s="99">
        <f t="shared" si="15"/>
        <v>0</v>
      </c>
      <c r="AW23" s="100">
        <f t="shared" si="15"/>
        <v>44.497801687726493</v>
      </c>
      <c r="AX23" s="101">
        <f t="shared" si="15"/>
        <v>27959.46</v>
      </c>
      <c r="AY23" s="102">
        <f t="shared" si="15"/>
        <v>26527.72</v>
      </c>
      <c r="AZ23" s="102">
        <f t="shared" si="15"/>
        <v>26747.029999999995</v>
      </c>
      <c r="BA23" s="102">
        <f t="shared" si="15"/>
        <v>27131.26</v>
      </c>
      <c r="BB23" s="102">
        <f t="shared" si="15"/>
        <v>0</v>
      </c>
      <c r="BC23" s="102">
        <f t="shared" si="15"/>
        <v>0</v>
      </c>
      <c r="BD23" s="102">
        <f t="shared" si="15"/>
        <v>0</v>
      </c>
      <c r="BE23" s="102">
        <f t="shared" si="15"/>
        <v>0</v>
      </c>
      <c r="BF23" s="102">
        <f t="shared" si="15"/>
        <v>0</v>
      </c>
      <c r="BG23" s="102">
        <f t="shared" si="15"/>
        <v>0</v>
      </c>
      <c r="BH23" s="102">
        <f t="shared" si="15"/>
        <v>2042.45</v>
      </c>
      <c r="BI23" s="102">
        <f t="shared" si="15"/>
        <v>823.15000000000009</v>
      </c>
      <c r="BJ23" s="102">
        <f t="shared" si="15"/>
        <v>1806.5</v>
      </c>
      <c r="BK23" s="102">
        <f t="shared" si="15"/>
        <v>2269.83</v>
      </c>
      <c r="BL23" s="102">
        <f t="shared" si="15"/>
        <v>0</v>
      </c>
      <c r="BM23" s="102">
        <f t="shared" si="15"/>
        <v>4977.66</v>
      </c>
      <c r="BN23" s="102">
        <f t="shared" si="15"/>
        <v>1407.56</v>
      </c>
      <c r="BO23" s="102">
        <f t="shared" si="15"/>
        <v>2585.09</v>
      </c>
      <c r="BP23" s="102">
        <f t="shared" ref="BP23:BW23" si="16">SUM(BP10:BP21)</f>
        <v>4294.51</v>
      </c>
      <c r="BQ23" s="102">
        <f t="shared" si="16"/>
        <v>0</v>
      </c>
      <c r="BR23" s="102">
        <f t="shared" si="16"/>
        <v>34979.57</v>
      </c>
      <c r="BS23" s="102">
        <f t="shared" si="16"/>
        <v>28758.429999999997</v>
      </c>
      <c r="BT23" s="102">
        <f t="shared" si="16"/>
        <v>31138.619999999995</v>
      </c>
      <c r="BU23" s="102">
        <f t="shared" si="16"/>
        <v>33695.599999999999</v>
      </c>
      <c r="BV23" s="102">
        <f t="shared" si="16"/>
        <v>0</v>
      </c>
      <c r="BW23" s="103">
        <f t="shared" si="16"/>
        <v>32143.055</v>
      </c>
    </row>
    <row r="24" spans="1:75" x14ac:dyDescent="0.25">
      <c r="E24" s="50"/>
    </row>
    <row r="25" spans="1:75" s="53" customFormat="1" x14ac:dyDescent="0.25">
      <c r="A25" s="35" t="s">
        <v>59</v>
      </c>
      <c r="B25" s="36" t="s">
        <v>60</v>
      </c>
      <c r="E25" s="54"/>
    </row>
    <row r="26" spans="1:75" ht="15.75" thickBot="1" x14ac:dyDescent="0.3">
      <c r="E26" s="50"/>
    </row>
    <row r="27" spans="1:75" ht="18.75" x14ac:dyDescent="0.3">
      <c r="B27" s="55"/>
      <c r="C27" s="56"/>
      <c r="D27" s="349" t="s">
        <v>148</v>
      </c>
      <c r="E27" s="350"/>
      <c r="F27" s="350"/>
      <c r="G27" s="350"/>
      <c r="H27" s="350"/>
      <c r="I27" s="350"/>
      <c r="J27" s="350"/>
      <c r="K27" s="350"/>
      <c r="L27" s="350"/>
      <c r="M27" s="350"/>
      <c r="N27" s="350"/>
      <c r="O27" s="350"/>
      <c r="P27" s="350"/>
      <c r="Q27" s="350"/>
      <c r="R27" s="351"/>
      <c r="S27" s="357" t="s">
        <v>214</v>
      </c>
      <c r="T27" s="358"/>
      <c r="U27" s="358"/>
      <c r="V27" s="358"/>
      <c r="W27" s="358"/>
      <c r="X27" s="358"/>
      <c r="Y27" s="358"/>
      <c r="Z27" s="358"/>
      <c r="AA27" s="358"/>
      <c r="AB27" s="358"/>
      <c r="AC27" s="358"/>
      <c r="AD27" s="358"/>
      <c r="AE27" s="358"/>
      <c r="AF27" s="358"/>
      <c r="AG27" s="358"/>
      <c r="AH27" s="358"/>
      <c r="AI27" s="358"/>
      <c r="AJ27" s="358"/>
      <c r="AK27" s="358"/>
      <c r="AL27" s="359"/>
      <c r="AM27" s="357" t="s">
        <v>149</v>
      </c>
      <c r="AN27" s="358"/>
      <c r="AO27" s="358"/>
      <c r="AP27" s="358"/>
      <c r="AQ27" s="358"/>
      <c r="AR27" s="358"/>
      <c r="AS27" s="358"/>
      <c r="AT27" s="358"/>
      <c r="AU27" s="358"/>
      <c r="AV27" s="358"/>
      <c r="AW27" s="358"/>
      <c r="AX27" s="358"/>
      <c r="AY27" s="358"/>
      <c r="AZ27" s="358"/>
      <c r="BA27" s="358"/>
      <c r="BB27" s="358"/>
      <c r="BC27" s="358"/>
      <c r="BD27" s="358"/>
      <c r="BE27" s="358"/>
      <c r="BF27" s="359"/>
    </row>
    <row r="28" spans="1:75" x14ac:dyDescent="0.25">
      <c r="B28" s="13"/>
      <c r="C28" s="57"/>
      <c r="D28" s="352" t="s">
        <v>143</v>
      </c>
      <c r="E28" s="353"/>
      <c r="F28" s="353"/>
      <c r="G28" s="353"/>
      <c r="H28" s="354"/>
      <c r="I28" s="355" t="s">
        <v>144</v>
      </c>
      <c r="J28" s="353"/>
      <c r="K28" s="353"/>
      <c r="L28" s="353"/>
      <c r="M28" s="354"/>
      <c r="N28" s="355" t="s">
        <v>139</v>
      </c>
      <c r="O28" s="353"/>
      <c r="P28" s="353"/>
      <c r="Q28" s="353"/>
      <c r="R28" s="356"/>
      <c r="S28" s="352" t="s">
        <v>30</v>
      </c>
      <c r="T28" s="353"/>
      <c r="U28" s="353"/>
      <c r="V28" s="353"/>
      <c r="W28" s="354"/>
      <c r="X28" s="355" t="s">
        <v>31</v>
      </c>
      <c r="Y28" s="353"/>
      <c r="Z28" s="353"/>
      <c r="AA28" s="353"/>
      <c r="AB28" s="354"/>
      <c r="AC28" s="355" t="s">
        <v>5</v>
      </c>
      <c r="AD28" s="353"/>
      <c r="AE28" s="353"/>
      <c r="AF28" s="353"/>
      <c r="AG28" s="354"/>
      <c r="AH28" s="355" t="s">
        <v>54</v>
      </c>
      <c r="AI28" s="353"/>
      <c r="AJ28" s="353"/>
      <c r="AK28" s="353"/>
      <c r="AL28" s="356"/>
      <c r="AM28" s="352" t="s">
        <v>30</v>
      </c>
      <c r="AN28" s="353"/>
      <c r="AO28" s="353"/>
      <c r="AP28" s="353"/>
      <c r="AQ28" s="354"/>
      <c r="AR28" s="355" t="s">
        <v>31</v>
      </c>
      <c r="AS28" s="353"/>
      <c r="AT28" s="353"/>
      <c r="AU28" s="353"/>
      <c r="AV28" s="354"/>
      <c r="AW28" s="355" t="s">
        <v>5</v>
      </c>
      <c r="AX28" s="353"/>
      <c r="AY28" s="353"/>
      <c r="AZ28" s="353"/>
      <c r="BA28" s="354"/>
      <c r="BB28" s="355" t="s">
        <v>54</v>
      </c>
      <c r="BC28" s="353"/>
      <c r="BD28" s="353"/>
      <c r="BE28" s="353"/>
      <c r="BF28" s="356"/>
    </row>
    <row r="29" spans="1:75" x14ac:dyDescent="0.25">
      <c r="B29" s="94" t="s">
        <v>15</v>
      </c>
      <c r="C29" s="164" t="s">
        <v>56</v>
      </c>
      <c r="D29" s="163">
        <v>2015</v>
      </c>
      <c r="E29" s="163">
        <v>2016</v>
      </c>
      <c r="F29" s="163">
        <v>2017</v>
      </c>
      <c r="G29" s="163">
        <v>2018</v>
      </c>
      <c r="H29" s="163">
        <v>2019</v>
      </c>
      <c r="I29" s="163">
        <v>2015</v>
      </c>
      <c r="J29" s="163">
        <v>2016</v>
      </c>
      <c r="K29" s="163">
        <v>2017</v>
      </c>
      <c r="L29" s="163">
        <v>2018</v>
      </c>
      <c r="M29" s="163">
        <v>2019</v>
      </c>
      <c r="N29" s="163">
        <v>2015</v>
      </c>
      <c r="O29" s="163">
        <v>2016</v>
      </c>
      <c r="P29" s="163">
        <v>2017</v>
      </c>
      <c r="Q29" s="163">
        <v>2018</v>
      </c>
      <c r="R29" s="163">
        <v>2019</v>
      </c>
      <c r="S29" s="163">
        <v>2015</v>
      </c>
      <c r="T29" s="163">
        <v>2016</v>
      </c>
      <c r="U29" s="163">
        <v>2017</v>
      </c>
      <c r="V29" s="163">
        <v>2018</v>
      </c>
      <c r="W29" s="163">
        <v>2019</v>
      </c>
      <c r="X29" s="163">
        <v>2015</v>
      </c>
      <c r="Y29" s="163">
        <v>2016</v>
      </c>
      <c r="Z29" s="163">
        <v>2017</v>
      </c>
      <c r="AA29" s="163">
        <v>2018</v>
      </c>
      <c r="AB29" s="163">
        <v>2019</v>
      </c>
      <c r="AC29" s="163">
        <v>2015</v>
      </c>
      <c r="AD29" s="163">
        <v>2016</v>
      </c>
      <c r="AE29" s="163">
        <v>2017</v>
      </c>
      <c r="AF29" s="163">
        <v>2018</v>
      </c>
      <c r="AG29" s="163">
        <v>2019</v>
      </c>
      <c r="AH29" s="163">
        <v>2015</v>
      </c>
      <c r="AI29" s="163">
        <v>2016</v>
      </c>
      <c r="AJ29" s="163">
        <v>2017</v>
      </c>
      <c r="AK29" s="163">
        <v>2018</v>
      </c>
      <c r="AL29" s="163">
        <v>2019</v>
      </c>
      <c r="AM29" s="163">
        <v>2015</v>
      </c>
      <c r="AN29" s="163">
        <v>2016</v>
      </c>
      <c r="AO29" s="163">
        <v>2017</v>
      </c>
      <c r="AP29" s="163">
        <v>2018</v>
      </c>
      <c r="AQ29" s="163">
        <v>2019</v>
      </c>
      <c r="AR29" s="163">
        <v>2015</v>
      </c>
      <c r="AS29" s="163">
        <v>2016</v>
      </c>
      <c r="AT29" s="163">
        <v>2017</v>
      </c>
      <c r="AU29" s="163">
        <v>2018</v>
      </c>
      <c r="AV29" s="163">
        <v>2019</v>
      </c>
      <c r="AW29" s="163">
        <v>2015</v>
      </c>
      <c r="AX29" s="163">
        <v>2016</v>
      </c>
      <c r="AY29" s="163">
        <v>2017</v>
      </c>
      <c r="AZ29" s="163">
        <v>2018</v>
      </c>
      <c r="BA29" s="163">
        <v>2019</v>
      </c>
      <c r="BB29" s="163">
        <v>2015</v>
      </c>
      <c r="BC29" s="163">
        <v>2016</v>
      </c>
      <c r="BD29" s="163">
        <v>2017</v>
      </c>
      <c r="BE29" s="163">
        <v>2018</v>
      </c>
      <c r="BF29" s="163">
        <v>2019</v>
      </c>
    </row>
    <row r="30" spans="1:75" x14ac:dyDescent="0.25">
      <c r="B30" s="15" t="s">
        <v>226</v>
      </c>
      <c r="C30" s="59" t="s">
        <v>26</v>
      </c>
      <c r="D30" s="110">
        <f>SUMIFS('Fleet Fuel Data'!$H:$H,'Fleet Fuel Data'!$B:$B,$B30,'Fleet Fuel Data'!$E:$E,D$29)</f>
        <v>3573.2</v>
      </c>
      <c r="E30" s="61">
        <f>SUMIFS('Fleet Fuel Data'!$H:$H,'Fleet Fuel Data'!$B:$B,$B30,'Fleet Fuel Data'!$E:$E,E$29)</f>
        <v>3669.3</v>
      </c>
      <c r="F30" s="61">
        <f>SUMIFS('Fleet Fuel Data'!$H:$H,'Fleet Fuel Data'!$B:$B,$B30,'Fleet Fuel Data'!$E:$E,F$29)</f>
        <v>3676.6</v>
      </c>
      <c r="G30" s="61">
        <f>SUMIFS('Fleet Fuel Data'!$H:$H,'Fleet Fuel Data'!$B:$B,$B30,'Fleet Fuel Data'!$E:$E,G$29)</f>
        <v>3877.3</v>
      </c>
      <c r="H30" s="160">
        <f>SUMIFS('Fleet Fuel Data'!$H:$H,'Fleet Fuel Data'!$B:$B,$B30,'Fleet Fuel Data'!$E:$E,H$29)</f>
        <v>0</v>
      </c>
      <c r="I30" s="61">
        <f>SUMIFS('Fleet Fuel Data'!$J:$J,'Fleet Fuel Data'!$B:$B,$B30,'Fleet Fuel Data'!$E:$E,I$29)</f>
        <v>9895.6299999999992</v>
      </c>
      <c r="J30" s="61">
        <f>SUMIFS('Fleet Fuel Data'!$J:$J,'Fleet Fuel Data'!$B:$B,$B30,'Fleet Fuel Data'!$E:$E,J$29)</f>
        <v>7590.3</v>
      </c>
      <c r="K30" s="61">
        <f>SUMIFS('Fleet Fuel Data'!$J:$J,'Fleet Fuel Data'!$B:$B,$B30,'Fleet Fuel Data'!$E:$E,K$29)</f>
        <v>8368.1</v>
      </c>
      <c r="L30" s="61">
        <f>SUMIFS('Fleet Fuel Data'!$J:$J,'Fleet Fuel Data'!$B:$B,$B30,'Fleet Fuel Data'!$E:$E,L$29)</f>
        <v>10200.1</v>
      </c>
      <c r="M30" s="61">
        <f>SUMIFS('Fleet Fuel Data'!$J:$J,'Fleet Fuel Data'!$B:$B,$B30,'Fleet Fuel Data'!$E:$E,M$29)</f>
        <v>0</v>
      </c>
      <c r="N30" s="61">
        <f>SUMIFS('Fleet Fuel Data'!$L:$L,'Fleet Fuel Data'!$B:$B,$B30,'Fleet Fuel Data'!$E:$E,N$29)</f>
        <v>0</v>
      </c>
      <c r="O30" s="61">
        <f>SUMIFS('Fleet Fuel Data'!$L:$L,'Fleet Fuel Data'!$B:$B,$B30,'Fleet Fuel Data'!$E:$E,O$29)</f>
        <v>0</v>
      </c>
      <c r="P30" s="61">
        <f>SUMIFS('Fleet Fuel Data'!$L:$L,'Fleet Fuel Data'!$B:$B,$B30,'Fleet Fuel Data'!$E:$E,P$29)</f>
        <v>0</v>
      </c>
      <c r="Q30" s="61">
        <f>SUMIFS('Fleet Fuel Data'!$L:$L,'Fleet Fuel Data'!$B:$B,$B30,'Fleet Fuel Data'!$E:$E,Q$29)</f>
        <v>0</v>
      </c>
      <c r="R30" s="61">
        <f>SUMIFS('Fleet Fuel Data'!$L:$L,'Fleet Fuel Data'!$B:$B,$B30,'Fleet Fuel Data'!$E:$E,R$29)</f>
        <v>0</v>
      </c>
      <c r="S30" s="60">
        <f>D30*'Factors and Sources'!$C$10/1000</f>
        <v>32.370830202030284</v>
      </c>
      <c r="T30" s="61">
        <f>E30*'Factors and Sources'!$C$10/1000</f>
        <v>33.241432682276319</v>
      </c>
      <c r="U30" s="61">
        <f>F30*'Factors and Sources'!$C$10/1000</f>
        <v>33.307565857154529</v>
      </c>
      <c r="V30" s="61">
        <f>G30*'Factors and Sources'!$C$10/1000</f>
        <v>35.125775199354095</v>
      </c>
      <c r="W30" s="61">
        <f>H30*'Factors and Sources'!$C$10/1000</f>
        <v>0</v>
      </c>
      <c r="X30" s="61">
        <f>I30*'Factors and Sources'!$C$9/1000</f>
        <v>102.45470517730945</v>
      </c>
      <c r="Y30" s="61">
        <f>J30*'Factors and Sources'!$C$9/1000</f>
        <v>78.586401139425377</v>
      </c>
      <c r="Z30" s="61">
        <f>K30*'Factors and Sources'!$C$9/1000</f>
        <v>86.639377017354462</v>
      </c>
      <c r="AA30" s="61">
        <f>L30*'Factors and Sources'!$C$9/1000</f>
        <v>105.60704455189556</v>
      </c>
      <c r="AB30" s="61">
        <f>M30*'Factors and Sources'!$C$9/1000</f>
        <v>0</v>
      </c>
      <c r="AC30" s="61">
        <f>N30/1000*'Factors and Sources'!$C$6/1000</f>
        <v>0</v>
      </c>
      <c r="AD30" s="61">
        <f>O30/1000*'Factors and Sources'!$C$6/1000</f>
        <v>0</v>
      </c>
      <c r="AE30" s="61">
        <f>P30/1000*'Factors and Sources'!$C$6/1000</f>
        <v>0</v>
      </c>
      <c r="AF30" s="61">
        <f>Q30/1000*'Factors and Sources'!$C$6/1000</f>
        <v>0</v>
      </c>
      <c r="AG30" s="61">
        <f>R30/1000*'Factors and Sources'!$C$6/1000</f>
        <v>0</v>
      </c>
      <c r="AH30" s="61">
        <f t="shared" ref="AH30:AL32" si="17">S30+X30+AC30</f>
        <v>134.82553537933973</v>
      </c>
      <c r="AI30" s="61">
        <f t="shared" si="17"/>
        <v>111.82783382170169</v>
      </c>
      <c r="AJ30" s="61">
        <f t="shared" si="17"/>
        <v>119.94694287450899</v>
      </c>
      <c r="AK30" s="61">
        <f t="shared" si="17"/>
        <v>140.73281975124965</v>
      </c>
      <c r="AL30" s="61">
        <f t="shared" si="17"/>
        <v>0</v>
      </c>
      <c r="AM30" s="109">
        <f>SUMIFS('Fleet Fuel Data'!$I:$I,'Fleet Fuel Data'!$B:$B,$B30,'Fleet Fuel Data'!$E:$E,AM$29)</f>
        <v>6843.94</v>
      </c>
      <c r="AN30" s="46">
        <f>SUMIFS('Fleet Fuel Data'!$I:$I,'Fleet Fuel Data'!$B:$B,$B30,'Fleet Fuel Data'!$E:$E,AN$29)</f>
        <v>5982.94</v>
      </c>
      <c r="AO30" s="46">
        <f>SUMIFS('Fleet Fuel Data'!$I:$I,'Fleet Fuel Data'!$B:$B,$B30,'Fleet Fuel Data'!$E:$E,AO$29)</f>
        <v>6784.72</v>
      </c>
      <c r="AP30" s="46">
        <f>SUMIFS('Fleet Fuel Data'!$I:$I,'Fleet Fuel Data'!$B:$B,$B30,'Fleet Fuel Data'!$E:$E,AP$29)</f>
        <v>8595.27</v>
      </c>
      <c r="AQ30" s="46">
        <f>SUMIFS('Fleet Fuel Data'!$I:$I,'Fleet Fuel Data'!$B:$B,$B30,'Fleet Fuel Data'!$E:$E,AQ$29)</f>
        <v>0</v>
      </c>
      <c r="AR30" s="46">
        <f>SUMIFS('Fleet Fuel Data'!$K:$K,'Fleet Fuel Data'!$B:$B,$B30,'Fleet Fuel Data'!$E:$E,AR$29)</f>
        <v>18663.02</v>
      </c>
      <c r="AS30" s="46">
        <f>SUMIFS('Fleet Fuel Data'!$K:$K,'Fleet Fuel Data'!$B:$B,$B30,'Fleet Fuel Data'!$E:$E,AS$29)</f>
        <v>11590.3</v>
      </c>
      <c r="AT30" s="46">
        <f>SUMIFS('Fleet Fuel Data'!$K:$K,'Fleet Fuel Data'!$B:$B,$B30,'Fleet Fuel Data'!$E:$E,AT$29)</f>
        <v>13910.72</v>
      </c>
      <c r="AU30" s="46">
        <f>SUMIFS('Fleet Fuel Data'!$K:$K,'Fleet Fuel Data'!$B:$B,$B30,'Fleet Fuel Data'!$E:$E,AU$29)</f>
        <v>23329.45</v>
      </c>
      <c r="AV30" s="46">
        <f>SUMIFS('Fleet Fuel Data'!$K:$K,'Fleet Fuel Data'!$B:$B,$B30,'Fleet Fuel Data'!$E:$E,AV$29)</f>
        <v>0</v>
      </c>
      <c r="AW30" s="46">
        <f>SUMIFS('Fleet Fuel Data'!$M:$M,'Fleet Fuel Data'!$B:$B,$B30,'Fleet Fuel Data'!$E:$E,AW$29)</f>
        <v>0</v>
      </c>
      <c r="AX30" s="46">
        <f>SUMIFS('Fleet Fuel Data'!$M:$M,'Fleet Fuel Data'!$B:$B,$B30,'Fleet Fuel Data'!$E:$E,AX$29)</f>
        <v>0</v>
      </c>
      <c r="AY30" s="46">
        <f>SUMIFS('Fleet Fuel Data'!$M:$M,'Fleet Fuel Data'!$B:$B,$B30,'Fleet Fuel Data'!$E:$E,AY$29)</f>
        <v>0</v>
      </c>
      <c r="AZ30" s="46">
        <f>SUMIFS('Fleet Fuel Data'!$M:$M,'Fleet Fuel Data'!$B:$B,$B30,'Fleet Fuel Data'!$E:$E,AZ$29)</f>
        <v>0</v>
      </c>
      <c r="BA30" s="46">
        <f>SUMIFS('Fleet Fuel Data'!$M:$M,'Fleet Fuel Data'!$B:$B,$B30,'Fleet Fuel Data'!$E:$E,BA$29)</f>
        <v>0</v>
      </c>
      <c r="BB30" s="46">
        <f>AM30+AR30+AW30</f>
        <v>25506.959999999999</v>
      </c>
      <c r="BC30" s="46">
        <f t="shared" ref="BC30:BD32" si="18">AN30+AS30+AX30</f>
        <v>17573.239999999998</v>
      </c>
      <c r="BD30" s="46">
        <f t="shared" si="18"/>
        <v>20695.439999999999</v>
      </c>
      <c r="BE30" s="46">
        <f t="shared" ref="BE30:BF32" si="19">AP30+AU30+AZ30</f>
        <v>31924.720000000001</v>
      </c>
      <c r="BF30" s="63">
        <f t="shared" si="19"/>
        <v>0</v>
      </c>
      <c r="BG30" s="64"/>
    </row>
    <row r="31" spans="1:75" x14ac:dyDescent="0.25">
      <c r="B31" s="15" t="s">
        <v>216</v>
      </c>
      <c r="C31" s="59" t="s">
        <v>26</v>
      </c>
      <c r="D31" s="110">
        <f>SUMIFS('Fleet Fuel Data'!$H:$H,'Fleet Fuel Data'!$B:$B,$B31,'Fleet Fuel Data'!$E:$E,D$29)</f>
        <v>463.32</v>
      </c>
      <c r="E31" s="61">
        <f>SUMIFS('Fleet Fuel Data'!$H:$H,'Fleet Fuel Data'!$B:$B,$B31,'Fleet Fuel Data'!$E:$E,E$29)</f>
        <v>501.8</v>
      </c>
      <c r="F31" s="61">
        <f>SUMIFS('Fleet Fuel Data'!$H:$H,'Fleet Fuel Data'!$B:$B,$B31,'Fleet Fuel Data'!$E:$E,F$29)</f>
        <v>507.66</v>
      </c>
      <c r="G31" s="61">
        <f>SUMIFS('Fleet Fuel Data'!$H:$H,'Fleet Fuel Data'!$B:$B,$B31,'Fleet Fuel Data'!$E:$E,G$29)</f>
        <v>367.99</v>
      </c>
      <c r="H31" s="160">
        <f>SUMIFS('Fleet Fuel Data'!$H:$H,'Fleet Fuel Data'!$B:$B,$B31,'Fleet Fuel Data'!$E:$E,H$29)</f>
        <v>0</v>
      </c>
      <c r="I31" s="61">
        <f>SUMIFS('Fleet Fuel Data'!$J:$J,'Fleet Fuel Data'!$B:$B,$B31,'Fleet Fuel Data'!$E:$E,I$29)</f>
        <v>0</v>
      </c>
      <c r="J31" s="61">
        <f>SUMIFS('Fleet Fuel Data'!$J:$J,'Fleet Fuel Data'!$B:$B,$B31,'Fleet Fuel Data'!$E:$E,J$29)</f>
        <v>0</v>
      </c>
      <c r="K31" s="61">
        <f>SUMIFS('Fleet Fuel Data'!$J:$J,'Fleet Fuel Data'!$B:$B,$B31,'Fleet Fuel Data'!$E:$E,K$29)</f>
        <v>0</v>
      </c>
      <c r="L31" s="61">
        <f>SUMIFS('Fleet Fuel Data'!$J:$J,'Fleet Fuel Data'!$B:$B,$B31,'Fleet Fuel Data'!$E:$E,L$29)</f>
        <v>0</v>
      </c>
      <c r="M31" s="61">
        <f>SUMIFS('Fleet Fuel Data'!$J:$J,'Fleet Fuel Data'!$B:$B,$B31,'Fleet Fuel Data'!$E:$E,M$29)</f>
        <v>0</v>
      </c>
      <c r="N31" s="61">
        <f>SUMIFS('Fleet Fuel Data'!$L:$L,'Fleet Fuel Data'!$B:$B,$B31,'Fleet Fuel Data'!$E:$E,N$29)</f>
        <v>0</v>
      </c>
      <c r="O31" s="61">
        <f>SUMIFS('Fleet Fuel Data'!$L:$L,'Fleet Fuel Data'!$B:$B,$B31,'Fleet Fuel Data'!$E:$E,O$29)</f>
        <v>0</v>
      </c>
      <c r="P31" s="61">
        <f>SUMIFS('Fleet Fuel Data'!$L:$L,'Fleet Fuel Data'!$B:$B,$B31,'Fleet Fuel Data'!$E:$E,P$29)</f>
        <v>0</v>
      </c>
      <c r="Q31" s="61">
        <f>SUMIFS('Fleet Fuel Data'!$L:$L,'Fleet Fuel Data'!$B:$B,$B31,'Fleet Fuel Data'!$E:$E,Q$29)</f>
        <v>0</v>
      </c>
      <c r="R31" s="61">
        <f>SUMIFS('Fleet Fuel Data'!$L:$L,'Fleet Fuel Data'!$B:$B,$B31,'Fleet Fuel Data'!$E:$E,R$29)</f>
        <v>0</v>
      </c>
      <c r="S31" s="60">
        <f>D31*'Factors and Sources'!$C$10/1000</f>
        <v>4.1973729567907405</v>
      </c>
      <c r="T31" s="61">
        <f>E31*'Factors and Sources'!$C$10/1000</f>
        <v>4.5459763224501284</v>
      </c>
      <c r="U31" s="61">
        <f>F31*'Factors and Sources'!$C$10/1000</f>
        <v>4.5990640491331849</v>
      </c>
      <c r="V31" s="61">
        <f>G31*'Factors and Sources'!$C$10/1000</f>
        <v>3.3337461675935089</v>
      </c>
      <c r="W31" s="61">
        <f>H31*'Factors and Sources'!$C$10/1000</f>
        <v>0</v>
      </c>
      <c r="X31" s="61">
        <f>I31*'Factors and Sources'!$C$9/1000</f>
        <v>0</v>
      </c>
      <c r="Y31" s="61">
        <f>J31*'Factors and Sources'!$C$9/1000</f>
        <v>0</v>
      </c>
      <c r="Z31" s="61">
        <f>K31*'Factors and Sources'!$C$9/1000</f>
        <v>0</v>
      </c>
      <c r="AA31" s="61">
        <f>L31*'Factors and Sources'!$C$9/1000</f>
        <v>0</v>
      </c>
      <c r="AB31" s="61">
        <f>M31*'Factors and Sources'!$C$9/1000</f>
        <v>0</v>
      </c>
      <c r="AC31" s="61">
        <f>N31/1000*'Factors and Sources'!$C$6/1000</f>
        <v>0</v>
      </c>
      <c r="AD31" s="61">
        <f>O31/1000*'Factors and Sources'!$C$6/1000</f>
        <v>0</v>
      </c>
      <c r="AE31" s="61">
        <f>P31/1000*'Factors and Sources'!$C$6/1000</f>
        <v>0</v>
      </c>
      <c r="AF31" s="61">
        <f>Q31/1000*'Factors and Sources'!$C$6/1000</f>
        <v>0</v>
      </c>
      <c r="AG31" s="61">
        <f>R31/1000*'Factors and Sources'!$C$6/1000</f>
        <v>0</v>
      </c>
      <c r="AH31" s="61">
        <f t="shared" si="17"/>
        <v>4.1973729567907405</v>
      </c>
      <c r="AI31" s="61">
        <f t="shared" si="17"/>
        <v>4.5459763224501284</v>
      </c>
      <c r="AJ31" s="61">
        <f t="shared" si="17"/>
        <v>4.5990640491331849</v>
      </c>
      <c r="AK31" s="61">
        <f t="shared" si="17"/>
        <v>3.3337461675935089</v>
      </c>
      <c r="AL31" s="61">
        <f t="shared" si="17"/>
        <v>0</v>
      </c>
      <c r="AM31" s="109">
        <f>SUMIFS('Fleet Fuel Data'!$I:$I,'Fleet Fuel Data'!$B:$B,$B31,'Fleet Fuel Data'!$E:$E,AM$29)</f>
        <v>5504.23</v>
      </c>
      <c r="AN31" s="46">
        <f>SUMIFS('Fleet Fuel Data'!$I:$I,'Fleet Fuel Data'!$B:$B,$B31,'Fleet Fuel Data'!$E:$E,AN$29)</f>
        <v>5961.42</v>
      </c>
      <c r="AO31" s="46">
        <f>SUMIFS('Fleet Fuel Data'!$I:$I,'Fleet Fuel Data'!$B:$B,$B31,'Fleet Fuel Data'!$E:$E,AO$29)</f>
        <v>6030.99</v>
      </c>
      <c r="AP31" s="46">
        <f>SUMIFS('Fleet Fuel Data'!$I:$I,'Fleet Fuel Data'!$B:$B,$B31,'Fleet Fuel Data'!$E:$E,AP$29)</f>
        <v>4371.71</v>
      </c>
      <c r="AQ31" s="46">
        <f>SUMIFS('Fleet Fuel Data'!$I:$I,'Fleet Fuel Data'!$B:$B,$B31,'Fleet Fuel Data'!$E:$E,AQ$29)</f>
        <v>0</v>
      </c>
      <c r="AR31" s="46">
        <f>SUMIFS('Fleet Fuel Data'!$K:$K,'Fleet Fuel Data'!$B:$B,$B31,'Fleet Fuel Data'!$E:$E,AR$29)</f>
        <v>0</v>
      </c>
      <c r="AS31" s="46">
        <f>SUMIFS('Fleet Fuel Data'!$K:$K,'Fleet Fuel Data'!$B:$B,$B31,'Fleet Fuel Data'!$E:$E,AS$29)</f>
        <v>0</v>
      </c>
      <c r="AT31" s="46">
        <f>SUMIFS('Fleet Fuel Data'!$K:$K,'Fleet Fuel Data'!$B:$B,$B31,'Fleet Fuel Data'!$E:$E,AT$29)</f>
        <v>0</v>
      </c>
      <c r="AU31" s="46">
        <f>SUMIFS('Fleet Fuel Data'!$K:$K,'Fleet Fuel Data'!$B:$B,$B31,'Fleet Fuel Data'!$E:$E,AU$29)</f>
        <v>0</v>
      </c>
      <c r="AV31" s="46">
        <f>SUMIFS('Fleet Fuel Data'!$K:$K,'Fleet Fuel Data'!$B:$B,$B31,'Fleet Fuel Data'!$E:$E,AV$29)</f>
        <v>0</v>
      </c>
      <c r="AW31" s="46">
        <f>SUMIFS('Fleet Fuel Data'!$M:$M,'Fleet Fuel Data'!$B:$B,$B31,'Fleet Fuel Data'!$E:$E,AW$29)</f>
        <v>0</v>
      </c>
      <c r="AX31" s="46">
        <f>SUMIFS('Fleet Fuel Data'!$M:$M,'Fleet Fuel Data'!$B:$B,$B31,'Fleet Fuel Data'!$E:$E,AX$29)</f>
        <v>0</v>
      </c>
      <c r="AY31" s="46">
        <f>SUMIFS('Fleet Fuel Data'!$M:$M,'Fleet Fuel Data'!$B:$B,$B31,'Fleet Fuel Data'!$E:$E,AY$29)</f>
        <v>0</v>
      </c>
      <c r="AZ31" s="46">
        <f>SUMIFS('Fleet Fuel Data'!$M:$M,'Fleet Fuel Data'!$B:$B,$B31,'Fleet Fuel Data'!$E:$E,AZ$29)</f>
        <v>0</v>
      </c>
      <c r="BA31" s="46">
        <f>SUMIFS('Fleet Fuel Data'!$M:$M,'Fleet Fuel Data'!$B:$B,$B31,'Fleet Fuel Data'!$E:$E,BA$29)</f>
        <v>0</v>
      </c>
      <c r="BB31" s="46">
        <f>AM31+AR31+AW31</f>
        <v>5504.23</v>
      </c>
      <c r="BC31" s="46">
        <f t="shared" si="18"/>
        <v>5961.42</v>
      </c>
      <c r="BD31" s="46">
        <f t="shared" si="18"/>
        <v>6030.99</v>
      </c>
      <c r="BE31" s="46">
        <f t="shared" si="19"/>
        <v>4371.71</v>
      </c>
      <c r="BF31" s="63">
        <f t="shared" si="19"/>
        <v>0</v>
      </c>
      <c r="BG31" s="64"/>
    </row>
    <row r="32" spans="1:75" x14ac:dyDescent="0.25">
      <c r="B32" s="15"/>
      <c r="C32" s="59" t="s">
        <v>26</v>
      </c>
      <c r="D32" s="110">
        <f>SUMIFS('Fleet Fuel Data'!$H:$H,'Fleet Fuel Data'!$B:$B,$B32,'Fleet Fuel Data'!$E:$E,D$29)</f>
        <v>0</v>
      </c>
      <c r="E32" s="61">
        <f>SUMIFS('Fleet Fuel Data'!$H:$H,'Fleet Fuel Data'!$B:$B,$B32,'Fleet Fuel Data'!$E:$E,E$29)</f>
        <v>0</v>
      </c>
      <c r="F32" s="61">
        <f>SUMIFS('Fleet Fuel Data'!$H:$H,'Fleet Fuel Data'!$B:$B,$B32,'Fleet Fuel Data'!$E:$E,F$29)</f>
        <v>0</v>
      </c>
      <c r="G32" s="61">
        <f>SUMIFS('Fleet Fuel Data'!$H:$H,'Fleet Fuel Data'!$B:$B,$B32,'Fleet Fuel Data'!$E:$E,G$29)</f>
        <v>0</v>
      </c>
      <c r="H32" s="160">
        <f>SUMIFS('Fleet Fuel Data'!$H:$H,'Fleet Fuel Data'!$B:$B,$B32,'Fleet Fuel Data'!$E:$E,H$29)</f>
        <v>0</v>
      </c>
      <c r="I32" s="61">
        <f>SUMIFS('Fleet Fuel Data'!$J:$J,'Fleet Fuel Data'!$B:$B,$B32,'Fleet Fuel Data'!$E:$E,I$29)</f>
        <v>0</v>
      </c>
      <c r="J32" s="61">
        <f>SUMIFS('Fleet Fuel Data'!$J:$J,'Fleet Fuel Data'!$B:$B,$B32,'Fleet Fuel Data'!$E:$E,J$29)</f>
        <v>0</v>
      </c>
      <c r="K32" s="61">
        <f>SUMIFS('Fleet Fuel Data'!$J:$J,'Fleet Fuel Data'!$B:$B,$B32,'Fleet Fuel Data'!$E:$E,K$29)</f>
        <v>0</v>
      </c>
      <c r="L32" s="61">
        <f>SUMIFS('Fleet Fuel Data'!$J:$J,'Fleet Fuel Data'!$B:$B,$B32,'Fleet Fuel Data'!$E:$E,L$29)</f>
        <v>0</v>
      </c>
      <c r="M32" s="61">
        <f>SUMIFS('Fleet Fuel Data'!$J:$J,'Fleet Fuel Data'!$B:$B,$B32,'Fleet Fuel Data'!$E:$E,M$29)</f>
        <v>0</v>
      </c>
      <c r="N32" s="61">
        <f>SUMIFS('Fleet Fuel Data'!$L:$L,'Fleet Fuel Data'!$B:$B,$B32,'Fleet Fuel Data'!$E:$E,N$29)</f>
        <v>0</v>
      </c>
      <c r="O32" s="61">
        <f>SUMIFS('Fleet Fuel Data'!$L:$L,'Fleet Fuel Data'!$B:$B,$B32,'Fleet Fuel Data'!$E:$E,O$29)</f>
        <v>0</v>
      </c>
      <c r="P32" s="61">
        <f>SUMIFS('Fleet Fuel Data'!$L:$L,'Fleet Fuel Data'!$B:$B,$B32,'Fleet Fuel Data'!$E:$E,P$29)</f>
        <v>0</v>
      </c>
      <c r="Q32" s="61">
        <f>SUMIFS('Fleet Fuel Data'!$L:$L,'Fleet Fuel Data'!$B:$B,$B32,'Fleet Fuel Data'!$E:$E,Q$29)</f>
        <v>0</v>
      </c>
      <c r="R32" s="61">
        <f>SUMIFS('Fleet Fuel Data'!$L:$L,'Fleet Fuel Data'!$B:$B,$B32,'Fleet Fuel Data'!$E:$E,R$29)</f>
        <v>0</v>
      </c>
      <c r="S32" s="60">
        <f>D32*'Factors and Sources'!$C$10/1000</f>
        <v>0</v>
      </c>
      <c r="T32" s="61">
        <f>E32*'Factors and Sources'!$C$10/1000</f>
        <v>0</v>
      </c>
      <c r="U32" s="61">
        <f>F32*'Factors and Sources'!$C$10/1000</f>
        <v>0</v>
      </c>
      <c r="V32" s="61">
        <f>G32*'Factors and Sources'!$C$10/1000</f>
        <v>0</v>
      </c>
      <c r="W32" s="61">
        <f>H32*'Factors and Sources'!$C$10/1000</f>
        <v>0</v>
      </c>
      <c r="X32" s="61">
        <f>I32*'Factors and Sources'!$C$9/1000</f>
        <v>0</v>
      </c>
      <c r="Y32" s="61">
        <f>J32*'Factors and Sources'!$C$9/1000</f>
        <v>0</v>
      </c>
      <c r="Z32" s="61">
        <f>K32*'Factors and Sources'!$C$9/1000</f>
        <v>0</v>
      </c>
      <c r="AA32" s="61">
        <f>L32*'Factors and Sources'!$C$9/1000</f>
        <v>0</v>
      </c>
      <c r="AB32" s="61">
        <f>M32*'Factors and Sources'!$C$9/1000</f>
        <v>0</v>
      </c>
      <c r="AC32" s="61">
        <f>N32/1000*'Factors and Sources'!$C$6/1000</f>
        <v>0</v>
      </c>
      <c r="AD32" s="61">
        <f>O32/1000*'Factors and Sources'!$C$6/1000</f>
        <v>0</v>
      </c>
      <c r="AE32" s="61">
        <f>P32/1000*'Factors and Sources'!$C$6/1000</f>
        <v>0</v>
      </c>
      <c r="AF32" s="61">
        <f>Q32/1000*'Factors and Sources'!$C$6/1000</f>
        <v>0</v>
      </c>
      <c r="AG32" s="61">
        <f>R32/1000*'Factors and Sources'!$C$6/1000</f>
        <v>0</v>
      </c>
      <c r="AH32" s="61">
        <f t="shared" si="17"/>
        <v>0</v>
      </c>
      <c r="AI32" s="61">
        <f t="shared" si="17"/>
        <v>0</v>
      </c>
      <c r="AJ32" s="61">
        <f t="shared" si="17"/>
        <v>0</v>
      </c>
      <c r="AK32" s="61">
        <f t="shared" si="17"/>
        <v>0</v>
      </c>
      <c r="AL32" s="61">
        <f t="shared" si="17"/>
        <v>0</v>
      </c>
      <c r="AM32" s="109">
        <f>SUMIFS('Fleet Fuel Data'!$I:$I,'Fleet Fuel Data'!$B:$B,$B32,'Fleet Fuel Data'!$E:$E,AM$29)</f>
        <v>0</v>
      </c>
      <c r="AN32" s="46">
        <f>SUMIFS('Fleet Fuel Data'!$I:$I,'Fleet Fuel Data'!$B:$B,$B32,'Fleet Fuel Data'!$E:$E,AN$29)</f>
        <v>0</v>
      </c>
      <c r="AO32" s="46">
        <f>SUMIFS('Fleet Fuel Data'!$I:$I,'Fleet Fuel Data'!$B:$B,$B32,'Fleet Fuel Data'!$E:$E,AO$29)</f>
        <v>0</v>
      </c>
      <c r="AP32" s="46">
        <f>SUMIFS('Fleet Fuel Data'!$I:$I,'Fleet Fuel Data'!$B:$B,$B32,'Fleet Fuel Data'!$E:$E,AP$29)</f>
        <v>0</v>
      </c>
      <c r="AQ32" s="46">
        <f>SUMIFS('Fleet Fuel Data'!$I:$I,'Fleet Fuel Data'!$B:$B,$B32,'Fleet Fuel Data'!$E:$E,AQ$29)</f>
        <v>0</v>
      </c>
      <c r="AR32" s="46">
        <f>SUMIFS('Fleet Fuel Data'!$K:$K,'Fleet Fuel Data'!$B:$B,$B32,'Fleet Fuel Data'!$E:$E,AR$29)</f>
        <v>0</v>
      </c>
      <c r="AS32" s="46">
        <f>SUMIFS('Fleet Fuel Data'!$K:$K,'Fleet Fuel Data'!$B:$B,$B32,'Fleet Fuel Data'!$E:$E,AS$29)</f>
        <v>0</v>
      </c>
      <c r="AT32" s="46">
        <f>SUMIFS('Fleet Fuel Data'!$K:$K,'Fleet Fuel Data'!$B:$B,$B32,'Fleet Fuel Data'!$E:$E,AT$29)</f>
        <v>0</v>
      </c>
      <c r="AU32" s="46">
        <f>SUMIFS('Fleet Fuel Data'!$K:$K,'Fleet Fuel Data'!$B:$B,$B32,'Fleet Fuel Data'!$E:$E,AU$29)</f>
        <v>0</v>
      </c>
      <c r="AV32" s="46">
        <f>SUMIFS('Fleet Fuel Data'!$K:$K,'Fleet Fuel Data'!$B:$B,$B32,'Fleet Fuel Data'!$E:$E,AV$29)</f>
        <v>0</v>
      </c>
      <c r="AW32" s="46">
        <f>SUMIFS('Fleet Fuel Data'!$M:$M,'Fleet Fuel Data'!$B:$B,$B32,'Fleet Fuel Data'!$E:$E,AW$29)</f>
        <v>0</v>
      </c>
      <c r="AX32" s="46">
        <f>SUMIFS('Fleet Fuel Data'!$M:$M,'Fleet Fuel Data'!$B:$B,$B32,'Fleet Fuel Data'!$E:$E,AX$29)</f>
        <v>0</v>
      </c>
      <c r="AY32" s="46">
        <f>SUMIFS('Fleet Fuel Data'!$M:$M,'Fleet Fuel Data'!$B:$B,$B32,'Fleet Fuel Data'!$E:$E,AY$29)</f>
        <v>0</v>
      </c>
      <c r="AZ32" s="46">
        <f>SUMIFS('Fleet Fuel Data'!$M:$M,'Fleet Fuel Data'!$B:$B,$B32,'Fleet Fuel Data'!$E:$E,AZ$29)</f>
        <v>0</v>
      </c>
      <c r="BA32" s="46">
        <f>SUMIFS('Fleet Fuel Data'!$M:$M,'Fleet Fuel Data'!$B:$B,$B32,'Fleet Fuel Data'!$E:$E,BA$29)</f>
        <v>0</v>
      </c>
      <c r="BB32" s="46">
        <f>AM32+AR32+AW32</f>
        <v>0</v>
      </c>
      <c r="BC32" s="46">
        <f t="shared" si="18"/>
        <v>0</v>
      </c>
      <c r="BD32" s="46">
        <f t="shared" si="18"/>
        <v>0</v>
      </c>
      <c r="BE32" s="46">
        <f t="shared" si="19"/>
        <v>0</v>
      </c>
      <c r="BF32" s="63">
        <f t="shared" si="19"/>
        <v>0</v>
      </c>
      <c r="BG32" s="64"/>
    </row>
    <row r="33" spans="1:66" x14ac:dyDescent="0.25">
      <c r="B33" s="11"/>
      <c r="C33" s="56"/>
      <c r="D33" s="65"/>
      <c r="E33" s="64"/>
      <c r="F33" s="64"/>
      <c r="G33" s="64"/>
      <c r="H33" s="64"/>
      <c r="I33" s="64"/>
      <c r="J33" s="64"/>
      <c r="K33" s="64"/>
      <c r="L33" s="64"/>
      <c r="M33" s="64"/>
      <c r="N33" s="64"/>
      <c r="O33" s="64"/>
      <c r="P33" s="64"/>
      <c r="Q33" s="64"/>
      <c r="R33" s="66"/>
      <c r="S33" s="65"/>
      <c r="T33" s="64"/>
      <c r="U33" s="64"/>
      <c r="V33" s="64"/>
      <c r="W33" s="64"/>
      <c r="X33" s="64"/>
      <c r="Y33" s="64"/>
      <c r="Z33" s="64"/>
      <c r="AA33" s="64"/>
      <c r="AB33" s="64"/>
      <c r="AC33" s="64"/>
      <c r="AD33" s="64"/>
      <c r="AE33" s="64"/>
      <c r="AF33" s="64"/>
      <c r="AG33" s="64"/>
      <c r="AH33" s="64"/>
      <c r="AI33" s="64"/>
      <c r="AJ33" s="64"/>
      <c r="AK33" s="64"/>
      <c r="AL33" s="66"/>
      <c r="AM33" s="67"/>
      <c r="AN33" s="68"/>
      <c r="AO33" s="68"/>
      <c r="AP33" s="68"/>
      <c r="AQ33" s="68"/>
      <c r="AR33" s="69"/>
      <c r="AS33" s="70"/>
      <c r="AT33" s="70"/>
      <c r="AU33" s="70"/>
      <c r="AV33" s="62"/>
      <c r="AW33" s="68"/>
      <c r="AX33" s="68"/>
      <c r="AY33" s="68"/>
      <c r="AZ33" s="68"/>
      <c r="BA33" s="70"/>
      <c r="BB33" s="69"/>
      <c r="BC33" s="68"/>
      <c r="BD33" s="68"/>
      <c r="BE33" s="68"/>
      <c r="BF33" s="71"/>
      <c r="BG33" s="64"/>
      <c r="BH33" s="56"/>
      <c r="BI33" s="56"/>
      <c r="BJ33" s="56"/>
      <c r="BK33" s="56"/>
      <c r="BL33" s="56"/>
      <c r="BM33" s="56"/>
      <c r="BN33" s="56"/>
    </row>
    <row r="34" spans="1:66" ht="15.75" thickBot="1" x14ac:dyDescent="0.3">
      <c r="B34" s="72" t="s">
        <v>58</v>
      </c>
      <c r="C34" s="73"/>
      <c r="D34" s="74">
        <f t="shared" ref="D34:W34" si="20">SUM(D30:D32)</f>
        <v>4036.52</v>
      </c>
      <c r="E34" s="75">
        <f t="shared" si="20"/>
        <v>4171.1000000000004</v>
      </c>
      <c r="F34" s="75">
        <f t="shared" si="20"/>
        <v>4184.26</v>
      </c>
      <c r="G34" s="75">
        <f t="shared" si="20"/>
        <v>4245.29</v>
      </c>
      <c r="H34" s="75">
        <f t="shared" si="20"/>
        <v>0</v>
      </c>
      <c r="I34" s="75">
        <f t="shared" si="20"/>
        <v>9895.6299999999992</v>
      </c>
      <c r="J34" s="75">
        <f t="shared" si="20"/>
        <v>7590.3</v>
      </c>
      <c r="K34" s="75">
        <f t="shared" si="20"/>
        <v>8368.1</v>
      </c>
      <c r="L34" s="75">
        <f t="shared" si="20"/>
        <v>10200.1</v>
      </c>
      <c r="M34" s="75">
        <f t="shared" si="20"/>
        <v>0</v>
      </c>
      <c r="N34" s="75">
        <f t="shared" si="20"/>
        <v>0</v>
      </c>
      <c r="O34" s="75">
        <f t="shared" si="20"/>
        <v>0</v>
      </c>
      <c r="P34" s="75">
        <f t="shared" si="20"/>
        <v>0</v>
      </c>
      <c r="Q34" s="75">
        <f t="shared" si="20"/>
        <v>0</v>
      </c>
      <c r="R34" s="76">
        <f t="shared" si="20"/>
        <v>0</v>
      </c>
      <c r="S34" s="161">
        <f t="shared" si="20"/>
        <v>36.568203158821021</v>
      </c>
      <c r="T34" s="75">
        <f t="shared" si="20"/>
        <v>37.787409004726449</v>
      </c>
      <c r="U34" s="75">
        <f t="shared" si="20"/>
        <v>37.906629906287712</v>
      </c>
      <c r="V34" s="162">
        <f t="shared" si="20"/>
        <v>38.459521366947605</v>
      </c>
      <c r="W34" s="75">
        <f t="shared" si="20"/>
        <v>0</v>
      </c>
      <c r="X34" s="75">
        <f t="shared" ref="X34:AL34" si="21">SUM(X30:X33)</f>
        <v>102.45470517730945</v>
      </c>
      <c r="Y34" s="75">
        <f t="shared" si="21"/>
        <v>78.586401139425377</v>
      </c>
      <c r="Z34" s="75">
        <f t="shared" si="21"/>
        <v>86.639377017354462</v>
      </c>
      <c r="AA34" s="75">
        <f t="shared" si="21"/>
        <v>105.60704455189556</v>
      </c>
      <c r="AB34" s="75">
        <f t="shared" si="21"/>
        <v>0</v>
      </c>
      <c r="AC34" s="75">
        <f t="shared" si="21"/>
        <v>0</v>
      </c>
      <c r="AD34" s="75">
        <f t="shared" si="21"/>
        <v>0</v>
      </c>
      <c r="AE34" s="75">
        <f t="shared" si="21"/>
        <v>0</v>
      </c>
      <c r="AF34" s="75">
        <f t="shared" si="21"/>
        <v>0</v>
      </c>
      <c r="AG34" s="75">
        <f t="shared" si="21"/>
        <v>0</v>
      </c>
      <c r="AH34" s="75">
        <f t="shared" si="21"/>
        <v>139.02290833613046</v>
      </c>
      <c r="AI34" s="75">
        <f t="shared" si="21"/>
        <v>116.37381014415182</v>
      </c>
      <c r="AJ34" s="75">
        <f t="shared" si="21"/>
        <v>124.54600692364218</v>
      </c>
      <c r="AK34" s="75">
        <f t="shared" si="21"/>
        <v>144.06656591884317</v>
      </c>
      <c r="AL34" s="75">
        <f t="shared" si="21"/>
        <v>0</v>
      </c>
      <c r="AM34" s="77">
        <f t="shared" ref="AM34:BF34" si="22">SUM(AM30:AM32)</f>
        <v>12348.169999999998</v>
      </c>
      <c r="AN34" s="78">
        <f t="shared" si="22"/>
        <v>11944.36</v>
      </c>
      <c r="AO34" s="78">
        <f t="shared" si="22"/>
        <v>12815.71</v>
      </c>
      <c r="AP34" s="78">
        <f t="shared" si="22"/>
        <v>12966.98</v>
      </c>
      <c r="AQ34" s="79">
        <f t="shared" si="22"/>
        <v>0</v>
      </c>
      <c r="AR34" s="78">
        <f t="shared" si="22"/>
        <v>18663.02</v>
      </c>
      <c r="AS34" s="78">
        <f t="shared" si="22"/>
        <v>11590.3</v>
      </c>
      <c r="AT34" s="78">
        <f t="shared" si="22"/>
        <v>13910.72</v>
      </c>
      <c r="AU34" s="78">
        <f t="shared" si="22"/>
        <v>23329.45</v>
      </c>
      <c r="AV34" s="79">
        <f t="shared" si="22"/>
        <v>0</v>
      </c>
      <c r="AW34" s="80">
        <f t="shared" si="22"/>
        <v>0</v>
      </c>
      <c r="AX34" s="80">
        <f t="shared" si="22"/>
        <v>0</v>
      </c>
      <c r="AY34" s="80">
        <f t="shared" si="22"/>
        <v>0</v>
      </c>
      <c r="AZ34" s="80">
        <f t="shared" si="22"/>
        <v>0</v>
      </c>
      <c r="BA34" s="80">
        <f t="shared" si="22"/>
        <v>0</v>
      </c>
      <c r="BB34" s="80">
        <f t="shared" si="22"/>
        <v>31011.19</v>
      </c>
      <c r="BC34" s="80">
        <f t="shared" si="22"/>
        <v>23534.659999999996</v>
      </c>
      <c r="BD34" s="80">
        <f t="shared" si="22"/>
        <v>26726.43</v>
      </c>
      <c r="BE34" s="80">
        <f t="shared" si="22"/>
        <v>36296.43</v>
      </c>
      <c r="BF34" s="81">
        <f t="shared" si="22"/>
        <v>0</v>
      </c>
      <c r="BG34" s="64"/>
      <c r="BH34" s="56"/>
      <c r="BI34" s="56"/>
      <c r="BJ34" s="56"/>
      <c r="BK34" s="56"/>
      <c r="BL34" s="56"/>
      <c r="BM34" s="56"/>
      <c r="BN34" s="56"/>
    </row>
    <row r="35" spans="1:66" x14ac:dyDescent="0.25">
      <c r="E35" s="48"/>
      <c r="F35" s="48"/>
      <c r="G35" s="49"/>
      <c r="I35" s="64"/>
      <c r="AK35" s="56"/>
      <c r="AL35" s="56"/>
      <c r="AM35" s="56"/>
      <c r="AN35" s="56"/>
      <c r="AO35" s="56"/>
      <c r="AP35" s="56"/>
      <c r="AQ35" s="56"/>
      <c r="AR35" s="56"/>
    </row>
    <row r="36" spans="1:66" s="36" customFormat="1" x14ac:dyDescent="0.25">
      <c r="A36" s="35" t="s">
        <v>61</v>
      </c>
      <c r="B36" s="36" t="s">
        <v>62</v>
      </c>
      <c r="C36" s="82"/>
      <c r="D36" s="82"/>
      <c r="E36" s="82"/>
      <c r="F36" s="82"/>
      <c r="G36" s="83"/>
      <c r="AK36" s="84"/>
      <c r="AL36" s="84"/>
      <c r="AM36" s="84"/>
      <c r="AN36" s="84"/>
      <c r="AO36" s="84"/>
      <c r="AP36" s="84"/>
      <c r="AQ36" s="84"/>
      <c r="AR36" s="84"/>
    </row>
    <row r="37" spans="1:66" x14ac:dyDescent="0.25">
      <c r="C37" s="48"/>
      <c r="D37" s="48"/>
      <c r="E37" s="48"/>
      <c r="F37" s="48"/>
      <c r="G37" s="49"/>
      <c r="AK37" s="56"/>
      <c r="AL37" s="56"/>
      <c r="AM37" s="56"/>
      <c r="AN37" s="56"/>
      <c r="AO37" s="56"/>
      <c r="AP37" s="56"/>
      <c r="AQ37" s="56"/>
      <c r="AR37" s="56"/>
    </row>
    <row r="38" spans="1:66" x14ac:dyDescent="0.25">
      <c r="C38" s="48"/>
      <c r="D38" s="48"/>
      <c r="E38" s="48"/>
      <c r="F38" s="48"/>
      <c r="G38" s="49"/>
      <c r="AK38" s="56"/>
      <c r="AL38" s="56"/>
      <c r="AM38" s="56"/>
      <c r="AN38" s="56"/>
      <c r="AO38" s="56"/>
      <c r="AP38" s="56"/>
      <c r="AQ38" s="56"/>
      <c r="AR38" s="56"/>
    </row>
    <row r="39" spans="1:66" x14ac:dyDescent="0.25">
      <c r="C39" s="48"/>
      <c r="D39" s="48"/>
      <c r="E39" s="48"/>
      <c r="F39" s="48"/>
      <c r="G39" s="49"/>
      <c r="AK39" s="56"/>
      <c r="AL39" s="56"/>
      <c r="AM39" s="56"/>
      <c r="AN39" s="56"/>
      <c r="AO39" s="56"/>
      <c r="AP39" s="56"/>
      <c r="AQ39" s="56"/>
      <c r="AR39" s="56"/>
    </row>
    <row r="40" spans="1:66" x14ac:dyDescent="0.25">
      <c r="C40" s="48"/>
      <c r="D40" s="48"/>
      <c r="E40" s="48"/>
      <c r="F40" s="48"/>
      <c r="G40" s="49"/>
      <c r="AK40" s="56"/>
      <c r="AL40" s="56"/>
      <c r="AM40" s="56"/>
      <c r="AN40" s="56"/>
      <c r="AO40" s="56"/>
      <c r="AP40" s="56"/>
      <c r="AQ40" s="56"/>
      <c r="AR40" s="56"/>
    </row>
    <row r="41" spans="1:66" x14ac:dyDescent="0.25">
      <c r="C41" s="48"/>
      <c r="D41" s="48"/>
      <c r="E41" s="48"/>
      <c r="F41" s="48"/>
      <c r="G41" s="49"/>
      <c r="AK41" s="56"/>
      <c r="AL41" s="56"/>
      <c r="AM41" s="56"/>
      <c r="AN41" s="56"/>
      <c r="AO41" s="56"/>
      <c r="AP41" s="56"/>
      <c r="AQ41" s="56"/>
      <c r="AR41" s="56"/>
    </row>
    <row r="42" spans="1:66" x14ac:dyDescent="0.25">
      <c r="C42" s="48"/>
      <c r="D42" s="48"/>
      <c r="E42" s="48"/>
      <c r="F42" s="48"/>
      <c r="G42" s="49"/>
      <c r="AK42" s="56"/>
      <c r="AL42" s="56"/>
      <c r="AM42" s="56"/>
      <c r="AN42" s="56"/>
      <c r="AO42" s="56"/>
      <c r="AP42" s="56"/>
      <c r="AQ42" s="56"/>
      <c r="AR42" s="56"/>
    </row>
    <row r="43" spans="1:66" x14ac:dyDescent="0.25">
      <c r="C43" s="48"/>
      <c r="D43" s="48"/>
      <c r="E43" s="48"/>
      <c r="F43" s="48"/>
      <c r="G43" s="49"/>
      <c r="AK43" s="56"/>
      <c r="AL43" s="56"/>
      <c r="AM43" s="56"/>
      <c r="AN43" s="56"/>
      <c r="AO43" s="56"/>
      <c r="AP43" s="56"/>
      <c r="AQ43" s="56"/>
      <c r="AR43" s="56"/>
    </row>
    <row r="44" spans="1:66" x14ac:dyDescent="0.25">
      <c r="C44" s="48"/>
      <c r="D44" s="48"/>
      <c r="E44" s="48"/>
      <c r="F44" s="48"/>
      <c r="G44" s="49"/>
      <c r="AK44" s="56"/>
      <c r="AL44" s="56"/>
      <c r="AM44" s="56"/>
      <c r="AN44" s="56"/>
      <c r="AO44" s="56"/>
      <c r="AP44" s="56"/>
      <c r="AQ44" s="56"/>
      <c r="AR44" s="56"/>
    </row>
    <row r="45" spans="1:66" x14ac:dyDescent="0.25">
      <c r="C45" s="48"/>
      <c r="D45" s="48"/>
      <c r="E45" s="48"/>
      <c r="F45" s="48"/>
      <c r="G45" s="49"/>
      <c r="AK45" s="56"/>
      <c r="AL45" s="56"/>
      <c r="AM45" s="56"/>
      <c r="AN45" s="56"/>
      <c r="AO45" s="56"/>
      <c r="AP45" s="56"/>
      <c r="AQ45" s="56"/>
      <c r="AR45" s="56"/>
    </row>
    <row r="46" spans="1:66" x14ac:dyDescent="0.25">
      <c r="C46" s="48"/>
      <c r="D46" s="48"/>
      <c r="E46" s="48"/>
      <c r="F46" s="48"/>
      <c r="G46" s="49"/>
      <c r="AK46" s="56"/>
      <c r="AL46" s="56"/>
      <c r="AM46" s="56"/>
      <c r="AN46" s="56"/>
      <c r="AO46" s="56"/>
      <c r="AP46" s="56"/>
      <c r="AQ46" s="56"/>
      <c r="AR46" s="56"/>
    </row>
    <row r="47" spans="1:66" x14ac:dyDescent="0.25">
      <c r="C47" s="48"/>
      <c r="D47" s="48"/>
      <c r="E47" s="48"/>
      <c r="F47" s="48"/>
      <c r="G47" s="49"/>
      <c r="AK47" s="56"/>
      <c r="AL47" s="56"/>
      <c r="AM47" s="56"/>
      <c r="AN47" s="56"/>
      <c r="AO47" s="56"/>
      <c r="AP47" s="56"/>
      <c r="AQ47" s="56"/>
      <c r="AR47" s="56"/>
    </row>
    <row r="48" spans="1:66" x14ac:dyDescent="0.25">
      <c r="C48" s="48"/>
      <c r="D48" s="48"/>
      <c r="E48" s="48"/>
      <c r="F48" s="48"/>
      <c r="G48" s="49"/>
      <c r="AK48" s="56"/>
      <c r="AL48" s="56"/>
      <c r="AM48" s="56"/>
      <c r="AN48" s="56"/>
      <c r="AO48" s="56"/>
      <c r="AP48" s="56"/>
      <c r="AQ48" s="56"/>
      <c r="AR48" s="56"/>
    </row>
    <row r="49" spans="1:44" x14ac:dyDescent="0.25">
      <c r="C49" s="48"/>
      <c r="D49" s="48"/>
      <c r="E49" s="48"/>
      <c r="F49" s="48"/>
      <c r="G49" s="49"/>
      <c r="AK49" s="56"/>
      <c r="AL49" s="56"/>
      <c r="AM49" s="56"/>
      <c r="AN49" s="56"/>
      <c r="AO49" s="56"/>
      <c r="AP49" s="56"/>
      <c r="AQ49" s="56"/>
      <c r="AR49" s="56"/>
    </row>
    <row r="50" spans="1:44" x14ac:dyDescent="0.25">
      <c r="C50" s="48"/>
      <c r="D50" s="48"/>
      <c r="E50" s="48"/>
      <c r="F50" s="48"/>
      <c r="G50" s="49"/>
      <c r="AK50" s="56"/>
      <c r="AL50" s="56"/>
      <c r="AM50" s="56"/>
      <c r="AN50" s="56"/>
      <c r="AO50" s="56"/>
      <c r="AP50" s="56"/>
      <c r="AQ50" s="56"/>
      <c r="AR50" s="56"/>
    </row>
    <row r="51" spans="1:44" x14ac:dyDescent="0.25">
      <c r="C51" s="48"/>
      <c r="D51" s="48"/>
      <c r="E51" s="48"/>
      <c r="F51" s="48"/>
      <c r="G51" s="49"/>
      <c r="AK51" s="56"/>
      <c r="AL51" s="56"/>
      <c r="AM51" s="56"/>
      <c r="AN51" s="56"/>
      <c r="AO51" s="56"/>
      <c r="AP51" s="56"/>
      <c r="AQ51" s="56"/>
      <c r="AR51" s="56"/>
    </row>
    <row r="52" spans="1:44" x14ac:dyDescent="0.25">
      <c r="C52" s="48"/>
      <c r="D52" s="48"/>
      <c r="E52" s="48"/>
      <c r="F52" s="48"/>
      <c r="G52" s="49"/>
      <c r="AK52" s="56"/>
      <c r="AL52" s="56"/>
      <c r="AM52" s="56"/>
      <c r="AN52" s="56"/>
      <c r="AO52" s="56"/>
      <c r="AP52" s="56"/>
      <c r="AQ52" s="56"/>
      <c r="AR52" s="56"/>
    </row>
    <row r="53" spans="1:44" x14ac:dyDescent="0.25">
      <c r="C53" s="48"/>
      <c r="D53" s="48"/>
      <c r="E53" s="48"/>
      <c r="F53" s="48"/>
      <c r="G53" s="49"/>
      <c r="AK53" s="56"/>
      <c r="AL53" s="56"/>
      <c r="AM53" s="56"/>
      <c r="AN53" s="56"/>
      <c r="AO53" s="56"/>
      <c r="AP53" s="56"/>
      <c r="AQ53" s="56"/>
      <c r="AR53" s="56"/>
    </row>
    <row r="54" spans="1:44" x14ac:dyDescent="0.25">
      <c r="C54" s="48"/>
      <c r="D54" s="48"/>
      <c r="E54" s="48"/>
      <c r="F54" s="48"/>
      <c r="G54" s="49"/>
    </row>
    <row r="56" spans="1:44" s="36" customFormat="1" x14ac:dyDescent="0.25">
      <c r="A56" s="35" t="s">
        <v>63</v>
      </c>
      <c r="B56" s="36" t="s">
        <v>64</v>
      </c>
    </row>
    <row r="57" spans="1:44" ht="15.75" thickBot="1" x14ac:dyDescent="0.3"/>
    <row r="58" spans="1:44" x14ac:dyDescent="0.25">
      <c r="B58" s="261"/>
      <c r="C58" s="344" t="s">
        <v>214</v>
      </c>
      <c r="D58" s="345"/>
      <c r="E58" s="345"/>
      <c r="F58" s="345"/>
      <c r="G58" s="345"/>
      <c r="H58" s="346"/>
    </row>
    <row r="59" spans="1:44" ht="15.75" thickBot="1" x14ac:dyDescent="0.3">
      <c r="B59" s="261"/>
      <c r="C59" s="277">
        <v>2015</v>
      </c>
      <c r="D59" s="163">
        <v>2016</v>
      </c>
      <c r="E59" s="163">
        <v>2017</v>
      </c>
      <c r="F59" s="163">
        <v>2018</v>
      </c>
      <c r="G59" s="163">
        <v>2019</v>
      </c>
      <c r="H59" s="278" t="s">
        <v>127</v>
      </c>
    </row>
    <row r="60" spans="1:44" ht="15.75" thickBot="1" x14ac:dyDescent="0.3">
      <c r="B60" s="282" t="s">
        <v>65</v>
      </c>
      <c r="C60" s="279">
        <f t="shared" ref="C60:H60" si="23">SUM(C61:C65)</f>
        <v>194.9816514901087</v>
      </c>
      <c r="D60" s="280">
        <f t="shared" si="23"/>
        <v>149.90131222480071</v>
      </c>
      <c r="E60" s="280">
        <f t="shared" si="23"/>
        <v>164.1612684692783</v>
      </c>
      <c r="F60" s="280">
        <f t="shared" si="23"/>
        <v>189.48715325548588</v>
      </c>
      <c r="G60" s="280">
        <f t="shared" si="23"/>
        <v>0</v>
      </c>
      <c r="H60" s="281">
        <f t="shared" si="23"/>
        <v>174.63284635991837</v>
      </c>
    </row>
    <row r="61" spans="1:44" x14ac:dyDescent="0.25">
      <c r="B61" s="274" t="s">
        <v>6</v>
      </c>
      <c r="C61" s="263">
        <f>SUMIFS($AR$10:$AR$21,$C$10:$C$21,$B61)</f>
        <v>0.70179626399999995</v>
      </c>
      <c r="D61" s="264">
        <f>SUMIFS($AS$10:$AS$21,$C$10:$C$21,$B61)</f>
        <v>1.9758491220000003</v>
      </c>
      <c r="E61" s="264">
        <f>SUMIFS($AT$10:$AT$21,$C$10:$C$21,$B61)</f>
        <v>1.974506742</v>
      </c>
      <c r="F61" s="264">
        <f>SUMIFS($AU$10:$AU$21,$C$10:$C$21,$B61)</f>
        <v>1.510982928</v>
      </c>
      <c r="G61" s="268">
        <v>0</v>
      </c>
      <c r="H61" s="271">
        <f>IFERROR((AVERAGEIF(C61:G61,"&lt;&gt;0")),"")</f>
        <v>1.5407837639999999</v>
      </c>
    </row>
    <row r="62" spans="1:44" x14ac:dyDescent="0.25">
      <c r="B62" s="275" t="s">
        <v>66</v>
      </c>
      <c r="C62" s="265">
        <f>SUMIFS($AR$10:$AR$21,$C$10:$C$21,$B62)</f>
        <v>49.679357989978243</v>
      </c>
      <c r="D62" s="262">
        <f>SUMIFS($AS$10:$AS$21,$C$10:$C$21,$B62)</f>
        <v>26.037827108648891</v>
      </c>
      <c r="E62" s="262">
        <f>SUMIFS($AT$10:$AT$21,$C$10:$C$21,$B62)</f>
        <v>32.322379481636105</v>
      </c>
      <c r="F62" s="262">
        <f>SUMIFS($AU$10:$AU$21,$C$10:$C$21,$B62)</f>
        <v>38.572972718642717</v>
      </c>
      <c r="G62" s="269">
        <f>SUMIFS($AV$10:$AV$21,$C$10:$C$21,$B62)</f>
        <v>0</v>
      </c>
      <c r="H62" s="272">
        <f>IFERROR((AVERAGEIF(C62:G62,"&lt;&gt;0")),"")</f>
        <v>36.653134324726494</v>
      </c>
    </row>
    <row r="63" spans="1:44" x14ac:dyDescent="0.25">
      <c r="B63" s="275" t="s">
        <v>67</v>
      </c>
      <c r="C63" s="265">
        <f>AH34</f>
        <v>139.02290833613046</v>
      </c>
      <c r="D63" s="262">
        <f>AI34</f>
        <v>116.37381014415182</v>
      </c>
      <c r="E63" s="262">
        <f>AJ34</f>
        <v>124.54600692364218</v>
      </c>
      <c r="F63" s="262">
        <f>AK34</f>
        <v>144.06656591884317</v>
      </c>
      <c r="G63" s="269">
        <f>AL34</f>
        <v>0</v>
      </c>
      <c r="H63" s="272">
        <f>IFERROR((AVERAGEIF(C63:G63,"&lt;&gt;0")),"")</f>
        <v>131.0023228306919</v>
      </c>
    </row>
    <row r="64" spans="1:44" x14ac:dyDescent="0.25">
      <c r="B64" s="275" t="s">
        <v>7</v>
      </c>
      <c r="C64" s="265">
        <f>SUMIFS($AR$10:$AR$21,$C$10:$C$21,$B64)</f>
        <v>5.5775889000000003</v>
      </c>
      <c r="D64" s="262">
        <f>SUMIFS($AS$10:$AS$21,$C$10:$C$21,$B64)</f>
        <v>5.5138258499999999</v>
      </c>
      <c r="E64" s="262">
        <f>SUMIFS($AT$10:$AT$21,$C$10:$C$21,$B64)</f>
        <v>5.3183753220000005</v>
      </c>
      <c r="F64" s="262">
        <f>SUMIFS($AU$10:$AU$21,$C$10:$C$21,$B64)</f>
        <v>5.3366316899999999</v>
      </c>
      <c r="G64" s="269">
        <f>SUMIFS($AV$10:$AV$21,$C$10:$C$21,$B64)</f>
        <v>0</v>
      </c>
      <c r="H64" s="272">
        <f>IFERROR((AVERAGEIF(C64:G64,"&lt;&gt;0")),"")</f>
        <v>5.4366054405000002</v>
      </c>
    </row>
    <row r="65" spans="1:9" ht="15.75" thickBot="1" x14ac:dyDescent="0.3">
      <c r="B65" s="276" t="s">
        <v>4</v>
      </c>
      <c r="C65" s="266">
        <f>SUMIFS($AR$10:$AR$21,$C$10:$C$21,$B65)</f>
        <v>0</v>
      </c>
      <c r="D65" s="267">
        <f>SUMIFS($AS$10:$AS$21,$C$10:$C$21,$B65)</f>
        <v>0</v>
      </c>
      <c r="E65" s="267">
        <f>SUMIFS($AT$10:$AT$21,$C$10:$C$21,$B65)</f>
        <v>0</v>
      </c>
      <c r="F65" s="267">
        <f>SUMIFS($AU$10:$AU$21,$C$10:$C$21,$B65)</f>
        <v>0</v>
      </c>
      <c r="G65" s="270">
        <f>SUMIFS($AV$10:$AV$21,$C$10:$C$21,$B65)</f>
        <v>0</v>
      </c>
      <c r="H65" s="273" t="str">
        <f>IFERROR((AVERAGEIF(C65:G65,"&lt;&gt;0")),"")</f>
        <v/>
      </c>
    </row>
    <row r="66" spans="1:9" ht="15.75" thickBot="1" x14ac:dyDescent="0.3">
      <c r="B66" s="261"/>
      <c r="C66" s="261"/>
      <c r="D66" s="261"/>
      <c r="E66" s="261"/>
      <c r="F66" s="261"/>
      <c r="G66" s="261"/>
      <c r="H66" s="261"/>
    </row>
    <row r="67" spans="1:9" ht="15.75" thickBot="1" x14ac:dyDescent="0.3">
      <c r="B67" s="283" t="s">
        <v>68</v>
      </c>
      <c r="C67" s="261"/>
      <c r="D67" s="261"/>
      <c r="E67" s="261"/>
      <c r="F67" s="261"/>
      <c r="G67" s="261"/>
      <c r="H67" s="261"/>
    </row>
    <row r="68" spans="1:9" x14ac:dyDescent="0.25">
      <c r="B68" s="325" t="s">
        <v>6</v>
      </c>
      <c r="C68" s="322">
        <f>C61/C$60</f>
        <v>3.5992938752783189E-3</v>
      </c>
      <c r="D68" s="322">
        <f>D61/D$60</f>
        <v>1.3180999503439319E-2</v>
      </c>
      <c r="E68" s="322">
        <f>E61/E$60</f>
        <v>1.2027847740281782E-2</v>
      </c>
      <c r="F68" s="322">
        <f>F61/F$60</f>
        <v>7.9740652706030094E-3</v>
      </c>
      <c r="G68" s="322" t="e">
        <f>G61/G$60</f>
        <v>#DIV/0!</v>
      </c>
      <c r="H68" s="284">
        <f>IFERROR(H61/H$60,"")</f>
        <v>8.822989466852324E-3</v>
      </c>
    </row>
    <row r="69" spans="1:9" x14ac:dyDescent="0.25">
      <c r="B69" s="326" t="s">
        <v>66</v>
      </c>
      <c r="C69" s="323">
        <f t="shared" ref="C69:D71" si="24">C62/C$60</f>
        <v>0.25478991284725294</v>
      </c>
      <c r="D69" s="323">
        <f t="shared" si="24"/>
        <v>0.17369979436604968</v>
      </c>
      <c r="E69" s="323">
        <f t="shared" ref="E69" si="25">E62/E$60</f>
        <v>0.19689406510455312</v>
      </c>
      <c r="F69" s="323">
        <f>F62/F$60</f>
        <v>0.20356510748058315</v>
      </c>
      <c r="G69" s="323" t="e">
        <f>G62/G$60</f>
        <v>#DIV/0!</v>
      </c>
      <c r="H69" s="285">
        <f>IFERROR(H62/H$60,"")</f>
        <v>0.20988682878812137</v>
      </c>
    </row>
    <row r="70" spans="1:9" x14ac:dyDescent="0.25">
      <c r="B70" s="326" t="s">
        <v>67</v>
      </c>
      <c r="C70" s="323">
        <f t="shared" si="24"/>
        <v>0.71300508162524723</v>
      </c>
      <c r="D70" s="323">
        <f t="shared" si="24"/>
        <v>0.77633616688845863</v>
      </c>
      <c r="E70" s="323">
        <f t="shared" ref="E70:G70" si="26">E63/E$60</f>
        <v>0.75868082700000672</v>
      </c>
      <c r="F70" s="323">
        <f>F63/F$60</f>
        <v>0.76029727315918849</v>
      </c>
      <c r="G70" s="323" t="e">
        <f t="shared" si="26"/>
        <v>#DIV/0!</v>
      </c>
      <c r="H70" s="285">
        <f>IFERROR(H63/H$60,"")</f>
        <v>0.75015855013149157</v>
      </c>
    </row>
    <row r="71" spans="1:9" x14ac:dyDescent="0.25">
      <c r="B71" s="326" t="s">
        <v>7</v>
      </c>
      <c r="C71" s="323">
        <f t="shared" si="24"/>
        <v>2.8605711652221533E-2</v>
      </c>
      <c r="D71" s="323">
        <f t="shared" si="24"/>
        <v>3.6783039242052444E-2</v>
      </c>
      <c r="E71" s="323">
        <f t="shared" ref="D71:F72" si="27">E64/E$60</f>
        <v>3.2397260155158335E-2</v>
      </c>
      <c r="F71" s="323">
        <f t="shared" si="27"/>
        <v>2.8163554089625325E-2</v>
      </c>
      <c r="G71" s="323" t="e">
        <f>G64/G$60</f>
        <v>#DIV/0!</v>
      </c>
      <c r="H71" s="285">
        <f>IFERROR(H64/H$60,"")</f>
        <v>3.1131631613534799E-2</v>
      </c>
    </row>
    <row r="72" spans="1:9" ht="15.75" thickBot="1" x14ac:dyDescent="0.3">
      <c r="B72" s="327" t="s">
        <v>4</v>
      </c>
      <c r="C72" s="323">
        <f>C65/C$60</f>
        <v>0</v>
      </c>
      <c r="D72" s="323">
        <f t="shared" si="27"/>
        <v>0</v>
      </c>
      <c r="E72" s="323">
        <f t="shared" si="27"/>
        <v>0</v>
      </c>
      <c r="F72" s="323">
        <f>F65/F$60</f>
        <v>0</v>
      </c>
      <c r="G72" s="323" t="e">
        <f>G65/G$60</f>
        <v>#DIV/0!</v>
      </c>
      <c r="H72" s="285" t="str">
        <f>IFERROR(H65/H$60,"")</f>
        <v/>
      </c>
    </row>
    <row r="73" spans="1:9" ht="15.75" thickBot="1" x14ac:dyDescent="0.3">
      <c r="B73" s="328" t="s">
        <v>271</v>
      </c>
      <c r="C73" s="330">
        <f>SUM(C68:C72)</f>
        <v>1</v>
      </c>
      <c r="D73" s="331">
        <f t="shared" ref="D73:H73" si="28">SUM(D68:D72)</f>
        <v>1</v>
      </c>
      <c r="E73" s="331">
        <f t="shared" si="28"/>
        <v>1</v>
      </c>
      <c r="F73" s="331">
        <f t="shared" si="28"/>
        <v>1</v>
      </c>
      <c r="G73" s="331" t="e">
        <f t="shared" si="28"/>
        <v>#DIV/0!</v>
      </c>
      <c r="H73" s="331">
        <f t="shared" si="28"/>
        <v>1</v>
      </c>
    </row>
    <row r="74" spans="1:9" s="36" customFormat="1" x14ac:dyDescent="0.25">
      <c r="A74" s="35" t="s">
        <v>69</v>
      </c>
      <c r="B74" s="324" t="s">
        <v>70</v>
      </c>
      <c r="C74" s="329"/>
      <c r="D74" s="329"/>
      <c r="E74" s="329"/>
      <c r="F74" s="329"/>
      <c r="G74" s="329"/>
      <c r="H74" s="329"/>
    </row>
    <row r="75" spans="1:9" s="85" customFormat="1" ht="15.75" thickBot="1" x14ac:dyDescent="0.3">
      <c r="B75" s="86"/>
    </row>
    <row r="76" spans="1:9" s="85" customFormat="1" ht="31.5" customHeight="1" x14ac:dyDescent="0.25">
      <c r="B76" s="86"/>
      <c r="C76" s="344" t="s">
        <v>214</v>
      </c>
      <c r="D76" s="345"/>
      <c r="E76" s="345"/>
      <c r="F76" s="345"/>
      <c r="G76" s="345"/>
      <c r="H76" s="345"/>
      <c r="I76" s="347" t="s">
        <v>150</v>
      </c>
    </row>
    <row r="77" spans="1:9" ht="15.75" thickBot="1" x14ac:dyDescent="0.3">
      <c r="C77" s="288">
        <v>2015</v>
      </c>
      <c r="D77" s="165">
        <v>2016</v>
      </c>
      <c r="E77" s="165">
        <v>2017</v>
      </c>
      <c r="F77" s="165">
        <v>2018</v>
      </c>
      <c r="G77" s="165">
        <v>2019</v>
      </c>
      <c r="H77" s="177" t="s">
        <v>127</v>
      </c>
      <c r="I77" s="348"/>
    </row>
    <row r="78" spans="1:9" ht="15.75" thickBot="1" x14ac:dyDescent="0.3">
      <c r="B78" s="286" t="s">
        <v>71</v>
      </c>
      <c r="C78" s="296">
        <f t="shared" ref="C78:I78" si="29">SUM(C79:C84)</f>
        <v>195.56585526610871</v>
      </c>
      <c r="D78" s="297">
        <f t="shared" si="29"/>
        <v>150.4244377108007</v>
      </c>
      <c r="E78" s="297">
        <f t="shared" si="29"/>
        <v>164.92467997527828</v>
      </c>
      <c r="F78" s="297">
        <f t="shared" si="29"/>
        <v>190.44346476748586</v>
      </c>
      <c r="G78" s="297">
        <f t="shared" si="29"/>
        <v>0</v>
      </c>
      <c r="H78" s="298">
        <f t="shared" si="29"/>
        <v>175.33960942991843</v>
      </c>
      <c r="I78" s="87">
        <f t="shared" si="29"/>
        <v>61535.232499999998</v>
      </c>
    </row>
    <row r="79" spans="1:9" x14ac:dyDescent="0.25">
      <c r="B79" s="287" t="s">
        <v>5</v>
      </c>
      <c r="C79" s="294">
        <f>X23</f>
        <v>18.168307872</v>
      </c>
      <c r="D79" s="295">
        <f>Y23</f>
        <v>17.925202853999998</v>
      </c>
      <c r="E79" s="295">
        <f>Z23</f>
        <v>17.054937900000002</v>
      </c>
      <c r="F79" s="295">
        <f>AA23</f>
        <v>16.982717855999997</v>
      </c>
      <c r="G79" s="295">
        <f>AB23</f>
        <v>0</v>
      </c>
      <c r="H79" s="295">
        <f t="shared" ref="H79:H84" si="30">IFERROR((AVERAGEIF(C79:G79,"&lt;&gt;0")),"")</f>
        <v>17.532791620499999</v>
      </c>
      <c r="I79" s="290">
        <f>IFERROR((AVERAGEIF(AX23:BB23,"&lt;&gt;0")),"")</f>
        <v>27091.367499999997</v>
      </c>
    </row>
    <row r="80" spans="1:9" x14ac:dyDescent="0.25">
      <c r="B80" s="126" t="s">
        <v>53</v>
      </c>
      <c r="C80" s="289">
        <f>AC23</f>
        <v>0</v>
      </c>
      <c r="D80" s="88">
        <f>AD23</f>
        <v>0</v>
      </c>
      <c r="E80" s="88">
        <f>AE23</f>
        <v>0</v>
      </c>
      <c r="F80" s="88">
        <f>AF23</f>
        <v>0</v>
      </c>
      <c r="G80" s="88">
        <f>AG23</f>
        <v>0</v>
      </c>
      <c r="H80" s="88">
        <v>0</v>
      </c>
      <c r="I80" s="290">
        <v>0</v>
      </c>
    </row>
    <row r="81" spans="1:17" x14ac:dyDescent="0.25">
      <c r="B81" s="126" t="s">
        <v>11</v>
      </c>
      <c r="C81" s="289">
        <f>AH23</f>
        <v>12.958792844118262</v>
      </c>
      <c r="D81" s="88">
        <f>AI23</f>
        <v>5.3411875379884064</v>
      </c>
      <c r="E81" s="88">
        <f>AJ23</f>
        <v>8.5979089865827234</v>
      </c>
      <c r="F81" s="88">
        <f>AK23</f>
        <v>9.1209332855548801</v>
      </c>
      <c r="G81" s="88">
        <f>AL23</f>
        <v>0</v>
      </c>
      <c r="H81" s="88">
        <f t="shared" si="30"/>
        <v>9.0047056635610687</v>
      </c>
      <c r="I81" s="290">
        <f>IFERROR((AVERAGEIF(BH23:BL23,"&lt;&gt;0")),"")</f>
        <v>1735.4825000000001</v>
      </c>
    </row>
    <row r="82" spans="1:17" x14ac:dyDescent="0.25">
      <c r="B82" s="126" t="s">
        <v>9</v>
      </c>
      <c r="C82" s="289">
        <f>AM23</f>
        <v>25.415846213859982</v>
      </c>
      <c r="D82" s="88">
        <f>AN23</f>
        <v>10.784237174660484</v>
      </c>
      <c r="E82" s="88">
        <f>AO23</f>
        <v>14.725826165053386</v>
      </c>
      <c r="F82" s="88">
        <f>AP23</f>
        <v>20.27324770708784</v>
      </c>
      <c r="G82" s="88">
        <f>AQ23</f>
        <v>0</v>
      </c>
      <c r="H82" s="88">
        <f t="shared" si="30"/>
        <v>17.799789315165423</v>
      </c>
      <c r="I82" s="290">
        <f>IFERROR((AVERAGEIF(BM23:BQ23,"&lt;&gt;0")),"")</f>
        <v>3316.2049999999999</v>
      </c>
    </row>
    <row r="83" spans="1:17" x14ac:dyDescent="0.25">
      <c r="B83" s="126" t="s">
        <v>30</v>
      </c>
      <c r="C83" s="289">
        <f>S34</f>
        <v>36.568203158821021</v>
      </c>
      <c r="D83" s="88">
        <f>T34</f>
        <v>37.787409004726449</v>
      </c>
      <c r="E83" s="88">
        <f>U34</f>
        <v>37.906629906287712</v>
      </c>
      <c r="F83" s="88">
        <f>V34</f>
        <v>38.459521366947605</v>
      </c>
      <c r="G83" s="88">
        <f>W34</f>
        <v>0</v>
      </c>
      <c r="H83" s="88">
        <f t="shared" si="30"/>
        <v>37.680440859195699</v>
      </c>
      <c r="I83" s="290">
        <f>IFERROR((AVERAGEIF(AM34:AQ34,"&lt;&gt;0")),"")</f>
        <v>12518.805</v>
      </c>
    </row>
    <row r="84" spans="1:17" ht="15.75" thickBot="1" x14ac:dyDescent="0.3">
      <c r="B84" s="127" t="s">
        <v>31</v>
      </c>
      <c r="C84" s="291">
        <f>X34</f>
        <v>102.45470517730945</v>
      </c>
      <c r="D84" s="292">
        <f>Y34</f>
        <v>78.586401139425377</v>
      </c>
      <c r="E84" s="292">
        <f>Z34</f>
        <v>86.639377017354462</v>
      </c>
      <c r="F84" s="292">
        <f>AA34</f>
        <v>105.60704455189556</v>
      </c>
      <c r="G84" s="292">
        <f>AB34</f>
        <v>0</v>
      </c>
      <c r="H84" s="292">
        <f t="shared" si="30"/>
        <v>93.321881971496225</v>
      </c>
      <c r="I84" s="293">
        <f>IFERROR((AVERAGEIF(AR34:AV34,"&lt;&gt;0")),"")</f>
        <v>16873.372500000001</v>
      </c>
    </row>
    <row r="91" spans="1:17" s="53" customFormat="1" x14ac:dyDescent="0.25">
      <c r="A91" s="35" t="s">
        <v>72</v>
      </c>
      <c r="B91" s="36" t="s">
        <v>73</v>
      </c>
    </row>
    <row r="93" spans="1:17" x14ac:dyDescent="0.25">
      <c r="B93" s="85" t="s">
        <v>74</v>
      </c>
      <c r="C93" s="89" t="s">
        <v>65</v>
      </c>
      <c r="F93" t="s">
        <v>75</v>
      </c>
      <c r="G93" s="89" t="s">
        <v>30</v>
      </c>
      <c r="M93" t="str">
        <f>$C$93</f>
        <v>All Municipal Operations</v>
      </c>
    </row>
    <row r="94" spans="1:17" x14ac:dyDescent="0.25">
      <c r="M94" s="340">
        <v>2015</v>
      </c>
      <c r="N94" s="340">
        <v>2016</v>
      </c>
      <c r="O94" s="340">
        <v>2017</v>
      </c>
      <c r="P94" s="340">
        <v>2018</v>
      </c>
      <c r="Q94" s="340">
        <v>2019</v>
      </c>
    </row>
    <row r="95" spans="1:17" x14ac:dyDescent="0.25">
      <c r="M95" s="341">
        <f>VLOOKUP($M$93,$B$60:$G$65,2,FALSE)</f>
        <v>194.9816514901087</v>
      </c>
      <c r="N95" s="341">
        <f>VLOOKUP($M$93,$B$60:$G$65,3,FALSE)</f>
        <v>149.90131222480071</v>
      </c>
      <c r="O95" s="341">
        <f>VLOOKUP($M$93,$B$60:$G$65,4,FALSE)</f>
        <v>164.1612684692783</v>
      </c>
      <c r="P95" s="341">
        <f>VLOOKUP($M$93,$B$60:$G$65,5,FALSE)</f>
        <v>189.48715325548588</v>
      </c>
      <c r="Q95" s="341">
        <f>VLOOKUP($M$93,$B$60:$G$65,6,FALSE)</f>
        <v>0</v>
      </c>
    </row>
    <row r="96" spans="1:17" x14ac:dyDescent="0.25">
      <c r="M96" s="56"/>
      <c r="N96" s="56"/>
      <c r="O96" s="56"/>
      <c r="P96" s="56"/>
      <c r="Q96" s="56"/>
    </row>
    <row r="97" spans="1:17" x14ac:dyDescent="0.25">
      <c r="M97" s="56" t="s">
        <v>215</v>
      </c>
      <c r="N97" s="56" t="str">
        <f>M97&amp;M93</f>
        <v>Annual GHG emissions (MTCO2e) from All Municipal Operations</v>
      </c>
      <c r="O97" s="56"/>
      <c r="P97" s="56"/>
      <c r="Q97" s="56"/>
    </row>
    <row r="98" spans="1:17" x14ac:dyDescent="0.25">
      <c r="M98" s="56"/>
      <c r="N98" s="56"/>
      <c r="O98" s="56"/>
      <c r="P98" s="56"/>
      <c r="Q98" s="56"/>
    </row>
    <row r="99" spans="1:17" x14ac:dyDescent="0.25">
      <c r="M99" s="56" t="str">
        <f>$G$93</f>
        <v>Gasoline</v>
      </c>
      <c r="N99" s="56"/>
      <c r="O99" s="56"/>
      <c r="P99" s="56"/>
      <c r="Q99" s="56"/>
    </row>
    <row r="100" spans="1:17" x14ac:dyDescent="0.25">
      <c r="M100" s="340">
        <v>2015</v>
      </c>
      <c r="N100" s="340">
        <v>2016</v>
      </c>
      <c r="O100" s="340">
        <v>2017</v>
      </c>
      <c r="P100" s="340">
        <v>2018</v>
      </c>
      <c r="Q100" s="340">
        <v>2019</v>
      </c>
    </row>
    <row r="101" spans="1:17" x14ac:dyDescent="0.25">
      <c r="M101" s="341">
        <f>VLOOKUP($M$99,$B$78:$E$85,2,FALSE)</f>
        <v>36.568203158821021</v>
      </c>
      <c r="N101" s="341">
        <f>VLOOKUP($M$99,$B$78:$E$85,3,FALSE)</f>
        <v>37.787409004726449</v>
      </c>
      <c r="O101" s="341">
        <f>VLOOKUP($M$99,$B$78:$H$85,4,FALSE)</f>
        <v>37.906629906287712</v>
      </c>
      <c r="P101" s="341">
        <f>VLOOKUP($M$99,$B$78:$H$85,5,FALSE)</f>
        <v>38.459521366947605</v>
      </c>
      <c r="Q101" s="341">
        <f>VLOOKUP($M$99,$B$78:$H$85,6,FALSE)</f>
        <v>0</v>
      </c>
    </row>
    <row r="103" spans="1:17" x14ac:dyDescent="0.25">
      <c r="M103" t="s">
        <v>215</v>
      </c>
      <c r="N103" t="str">
        <f>M103&amp;M99</f>
        <v>Annual GHG emissions (MTCO2e) from Gasoline</v>
      </c>
    </row>
    <row r="107" spans="1:17" s="53" customFormat="1" x14ac:dyDescent="0.25">
      <c r="A107" s="35" t="s">
        <v>76</v>
      </c>
      <c r="B107" s="36" t="s">
        <v>154</v>
      </c>
    </row>
    <row r="109" spans="1:17" x14ac:dyDescent="0.25">
      <c r="B109" s="58" t="s">
        <v>155</v>
      </c>
      <c r="C109" s="58" t="s">
        <v>77</v>
      </c>
    </row>
    <row r="110" spans="1:17" x14ac:dyDescent="0.25">
      <c r="B110" s="52" t="s">
        <v>223</v>
      </c>
      <c r="C110" s="90" t="s">
        <v>5</v>
      </c>
    </row>
    <row r="111" spans="1:17" x14ac:dyDescent="0.25">
      <c r="H111" t="s">
        <v>78</v>
      </c>
      <c r="K111" t="str">
        <f>IF(C110="Electricity","E","G")</f>
        <v>E</v>
      </c>
      <c r="O111" t="s">
        <v>5</v>
      </c>
    </row>
    <row r="112" spans="1:17" x14ac:dyDescent="0.25">
      <c r="H112" s="167" t="str">
        <f>B110</f>
        <v>Kennel</v>
      </c>
      <c r="I112" s="166"/>
      <c r="J112" s="166"/>
      <c r="K112" s="166"/>
      <c r="L112" s="166"/>
      <c r="M112" s="166"/>
      <c r="O112" t="s">
        <v>53</v>
      </c>
    </row>
    <row r="113" spans="8:13" x14ac:dyDescent="0.25">
      <c r="H113" s="166" t="s">
        <v>14</v>
      </c>
      <c r="I113" s="166" t="s">
        <v>13</v>
      </c>
      <c r="J113" s="166"/>
      <c r="K113" s="166" t="str">
        <f>IF(C110="Electricity","kWh","Therms")</f>
        <v>kWh</v>
      </c>
      <c r="L113" s="166" t="s">
        <v>79</v>
      </c>
      <c r="M113" s="166" t="s">
        <v>80</v>
      </c>
    </row>
    <row r="114" spans="8:13" x14ac:dyDescent="0.25">
      <c r="H114" s="13" t="s">
        <v>81</v>
      </c>
      <c r="I114" s="13">
        <v>2015</v>
      </c>
      <c r="J114" s="217">
        <v>42005</v>
      </c>
      <c r="K114" s="13">
        <f>SUMIFS('Central Hudson Data'!$I:$I,'Central Hudson Data'!$B:$B,$B$110,'Central Hudson Data'!$O:$O,$I114,'Central Hudson Data'!$S:$S,$H114,'Central Hudson Data'!H:H,$K$111)</f>
        <v>1406</v>
      </c>
      <c r="L114" s="46">
        <f>SUMIFS('Central Hudson Data'!$N:$N,'Central Hudson Data'!$B:$B,$B$110,'Central Hudson Data'!$O:$O,$I114,'Central Hudson Data'!$S:$S,$H114,'Central Hudson Data'!H:H,$K$111)</f>
        <v>247.09</v>
      </c>
      <c r="M114" s="13">
        <f>COUNTIFS('Central Hudson Data'!$O:$O,I114,'Central Hudson Data'!$S:$S,H114,'Central Hudson Data'!$B:$B,$B$110,'Central Hudson Data'!H:H,$K$111)</f>
        <v>1</v>
      </c>
    </row>
    <row r="115" spans="8:13" x14ac:dyDescent="0.25">
      <c r="H115" s="13" t="s">
        <v>82</v>
      </c>
      <c r="I115" s="13">
        <v>2015</v>
      </c>
      <c r="J115" s="217">
        <v>42036</v>
      </c>
      <c r="K115" s="13">
        <f>SUMIFS('Central Hudson Data'!$I:$I,'Central Hudson Data'!$B:$B,$B$110,'Central Hudson Data'!$O:$O,$I115,'Central Hudson Data'!$S:$S,$H115,'Central Hudson Data'!H:H,$K$111)</f>
        <v>0</v>
      </c>
      <c r="L115" s="46">
        <f>SUMIFS('Central Hudson Data'!$N:$N,'Central Hudson Data'!$B:$B,$B$110,'Central Hudson Data'!$O:$O,$I115,'Central Hudson Data'!$S:$S,$H115,'Central Hudson Data'!H:H,$K$111)</f>
        <v>0</v>
      </c>
      <c r="M115" s="13">
        <f>COUNTIFS('Central Hudson Data'!$O:$O,I115,'Central Hudson Data'!$S:$S,H115,'Central Hudson Data'!$B:$B,$B$110,'Central Hudson Data'!H:H,$K$111)</f>
        <v>0</v>
      </c>
    </row>
    <row r="116" spans="8:13" x14ac:dyDescent="0.25">
      <c r="H116" s="13" t="s">
        <v>83</v>
      </c>
      <c r="I116" s="13">
        <v>2015</v>
      </c>
      <c r="J116" s="217">
        <v>42064</v>
      </c>
      <c r="K116" s="13">
        <f>SUMIFS('Central Hudson Data'!$I:$I,'Central Hudson Data'!$B:$B,$B$110,'Central Hudson Data'!$O:$O,$I116,'Central Hudson Data'!$S:$S,$H116,'Central Hudson Data'!H:H,$K$111)</f>
        <v>0</v>
      </c>
      <c r="L116" s="46">
        <f>SUMIFS('Central Hudson Data'!$N:$N,'Central Hudson Data'!$B:$B,$B$110,'Central Hudson Data'!$O:$O,$I116,'Central Hudson Data'!$S:$S,$H116,'Central Hudson Data'!H:H,$K$111)</f>
        <v>0</v>
      </c>
      <c r="M116" s="13">
        <f>COUNTIFS('Central Hudson Data'!$O:$O,I116,'Central Hudson Data'!$S:$S,H116,'Central Hudson Data'!$B:$B,$B$110,'Central Hudson Data'!H:H,$K$111)</f>
        <v>0</v>
      </c>
    </row>
    <row r="117" spans="8:13" x14ac:dyDescent="0.25">
      <c r="H117" s="13" t="s">
        <v>84</v>
      </c>
      <c r="I117" s="13">
        <v>2015</v>
      </c>
      <c r="J117" s="217">
        <v>42095</v>
      </c>
      <c r="K117" s="13">
        <f>SUMIFS('Central Hudson Data'!$I:$I,'Central Hudson Data'!$B:$B,$B$110,'Central Hudson Data'!$O:$O,$I117,'Central Hudson Data'!$S:$S,$H117,'Central Hudson Data'!H:H,$K$111)</f>
        <v>31</v>
      </c>
      <c r="L117" s="46">
        <f>SUMIFS('Central Hudson Data'!$N:$N,'Central Hudson Data'!$B:$B,$B$110,'Central Hudson Data'!$O:$O,$I117,'Central Hudson Data'!$S:$S,$H117,'Central Hudson Data'!H:H,$K$111)</f>
        <v>54.44</v>
      </c>
      <c r="M117" s="13">
        <f>COUNTIFS('Central Hudson Data'!$O:$O,I117,'Central Hudson Data'!$S:$S,H117,'Central Hudson Data'!$B:$B,$B$110,'Central Hudson Data'!H:H,$K$111)</f>
        <v>1</v>
      </c>
    </row>
    <row r="118" spans="8:13" x14ac:dyDescent="0.25">
      <c r="H118" s="13" t="s">
        <v>85</v>
      </c>
      <c r="I118" s="13">
        <v>2015</v>
      </c>
      <c r="J118" s="217">
        <v>42125</v>
      </c>
      <c r="K118" s="13">
        <f>SUMIFS('Central Hudson Data'!$I:$I,'Central Hudson Data'!$B:$B,$B$110,'Central Hudson Data'!$O:$O,$I118,'Central Hudson Data'!$S:$S,$H118,'Central Hudson Data'!H:H,$K$111)</f>
        <v>0</v>
      </c>
      <c r="L118" s="46">
        <f>SUMIFS('Central Hudson Data'!$N:$N,'Central Hudson Data'!$B:$B,$B$110,'Central Hudson Data'!$O:$O,$I118,'Central Hudson Data'!$S:$S,$H118,'Central Hudson Data'!H:H,$K$111)</f>
        <v>0</v>
      </c>
      <c r="M118" s="13">
        <f>COUNTIFS('Central Hudson Data'!$O:$O,I118,'Central Hudson Data'!$S:$S,H118,'Central Hudson Data'!$B:$B,$B$110,'Central Hudson Data'!H:H,$K$111)</f>
        <v>0</v>
      </c>
    </row>
    <row r="119" spans="8:13" x14ac:dyDescent="0.25">
      <c r="H119" s="13" t="s">
        <v>86</v>
      </c>
      <c r="I119" s="13">
        <v>2015</v>
      </c>
      <c r="J119" s="217">
        <v>42156</v>
      </c>
      <c r="K119" s="13">
        <f>SUMIFS('Central Hudson Data'!$I:$I,'Central Hudson Data'!$B:$B,$B$110,'Central Hudson Data'!$O:$O,$I119,'Central Hudson Data'!$S:$S,$H119,'Central Hudson Data'!H:H,$K$111)</f>
        <v>24</v>
      </c>
      <c r="L119" s="46">
        <f>SUMIFS('Central Hudson Data'!$N:$N,'Central Hudson Data'!$B:$B,$B$110,'Central Hudson Data'!$O:$O,$I119,'Central Hudson Data'!$S:$S,$H119,'Central Hudson Data'!H:H,$K$111)</f>
        <v>51.9</v>
      </c>
      <c r="M119" s="13">
        <f>COUNTIFS('Central Hudson Data'!$O:$O,I119,'Central Hudson Data'!$S:$S,H119,'Central Hudson Data'!$B:$B,$B$110,'Central Hudson Data'!H:H,$K$111)</f>
        <v>1</v>
      </c>
    </row>
    <row r="120" spans="8:13" x14ac:dyDescent="0.25">
      <c r="H120" s="13" t="s">
        <v>87</v>
      </c>
      <c r="I120" s="13">
        <v>2015</v>
      </c>
      <c r="J120" s="217">
        <v>42186</v>
      </c>
      <c r="K120" s="13">
        <f>SUMIFS('Central Hudson Data'!$I:$I,'Central Hudson Data'!$B:$B,$B$110,'Central Hudson Data'!$O:$O,$I120,'Central Hudson Data'!$S:$S,$H120,'Central Hudson Data'!H:H,$K$111)</f>
        <v>121</v>
      </c>
      <c r="L120" s="46">
        <f>SUMIFS('Central Hudson Data'!$N:$N,'Central Hudson Data'!$B:$B,$B$110,'Central Hudson Data'!$O:$O,$I120,'Central Hudson Data'!$S:$S,$H120,'Central Hudson Data'!H:H,$K$111)</f>
        <v>63.32</v>
      </c>
      <c r="M120" s="13">
        <f>COUNTIFS('Central Hudson Data'!$O:$O,I120,'Central Hudson Data'!$S:$S,H120,'Central Hudson Data'!$B:$B,$B$110,'Central Hudson Data'!H:H,$K$111)</f>
        <v>1</v>
      </c>
    </row>
    <row r="121" spans="8:13" x14ac:dyDescent="0.25">
      <c r="H121" s="13" t="s">
        <v>88</v>
      </c>
      <c r="I121" s="13">
        <v>2015</v>
      </c>
      <c r="J121" s="217">
        <v>42217</v>
      </c>
      <c r="K121" s="13">
        <f>SUMIFS('Central Hudson Data'!$I:$I,'Central Hudson Data'!$B:$B,$B$110,'Central Hudson Data'!$O:$O,$I121,'Central Hudson Data'!$S:$S,$H121,'Central Hudson Data'!H:H,$K$111)</f>
        <v>0</v>
      </c>
      <c r="L121" s="46">
        <f>SUMIFS('Central Hudson Data'!$N:$N,'Central Hudson Data'!$B:$B,$B$110,'Central Hudson Data'!$O:$O,$I121,'Central Hudson Data'!$S:$S,$H121,'Central Hudson Data'!H:H,$K$111)</f>
        <v>0</v>
      </c>
      <c r="M121" s="13">
        <f>COUNTIFS('Central Hudson Data'!$O:$O,I121,'Central Hudson Data'!$S:$S,H121,'Central Hudson Data'!$B:$B,$B$110,'Central Hudson Data'!H:H,$K$111)</f>
        <v>0</v>
      </c>
    </row>
    <row r="122" spans="8:13" x14ac:dyDescent="0.25">
      <c r="H122" s="13" t="s">
        <v>89</v>
      </c>
      <c r="I122" s="13">
        <v>2015</v>
      </c>
      <c r="J122" s="217">
        <v>42248</v>
      </c>
      <c r="K122" s="13">
        <f>SUMIFS('Central Hudson Data'!$I:$I,'Central Hudson Data'!$B:$B,$B$110,'Central Hudson Data'!$O:$O,$I122,'Central Hudson Data'!$S:$S,$H122,'Central Hudson Data'!H:H,$K$111)</f>
        <v>0</v>
      </c>
      <c r="L122" s="46">
        <f>SUMIFS('Central Hudson Data'!$N:$N,'Central Hudson Data'!$B:$B,$B$110,'Central Hudson Data'!$O:$O,$I122,'Central Hudson Data'!$S:$S,$H122,'Central Hudson Data'!H:H,$K$111)</f>
        <v>0</v>
      </c>
      <c r="M122" s="13">
        <f>COUNTIFS('Central Hudson Data'!$O:$O,I122,'Central Hudson Data'!$S:$S,H122,'Central Hudson Data'!$B:$B,$B$110,'Central Hudson Data'!H:H,$K$111)</f>
        <v>0</v>
      </c>
    </row>
    <row r="123" spans="8:13" x14ac:dyDescent="0.25">
      <c r="H123" s="13" t="s">
        <v>90</v>
      </c>
      <c r="I123" s="13">
        <v>2015</v>
      </c>
      <c r="J123" s="217">
        <v>42278</v>
      </c>
      <c r="K123" s="13">
        <f>SUMIFS('Central Hudson Data'!$I:$I,'Central Hudson Data'!$B:$B,$B$110,'Central Hudson Data'!$O:$O,$I123,'Central Hudson Data'!$S:$S,$H123,'Central Hudson Data'!H:H,$K$111)</f>
        <v>80</v>
      </c>
      <c r="L123" s="46">
        <f>SUMIFS('Central Hudson Data'!$N:$N,'Central Hudson Data'!$B:$B,$B$110,'Central Hudson Data'!$O:$O,$I123,'Central Hudson Data'!$S:$S,$H123,'Central Hudson Data'!H:H,$K$111)</f>
        <v>60.29</v>
      </c>
      <c r="M123" s="13">
        <f>COUNTIFS('Central Hudson Data'!$O:$O,I123,'Central Hudson Data'!$S:$S,H123,'Central Hudson Data'!$B:$B,$B$110,'Central Hudson Data'!H:H,$K$111)</f>
        <v>1</v>
      </c>
    </row>
    <row r="124" spans="8:13" x14ac:dyDescent="0.25">
      <c r="H124" s="13" t="s">
        <v>91</v>
      </c>
      <c r="I124" s="13">
        <v>2015</v>
      </c>
      <c r="J124" s="217">
        <v>42309</v>
      </c>
      <c r="K124" s="13">
        <f>SUMIFS('Central Hudson Data'!$I:$I,'Central Hudson Data'!$B:$B,$B$110,'Central Hudson Data'!$O:$O,$I124,'Central Hudson Data'!$S:$S,$H124,'Central Hudson Data'!H:H,$K$111)</f>
        <v>0</v>
      </c>
      <c r="L124" s="46">
        <f>SUMIFS('Central Hudson Data'!$N:$N,'Central Hudson Data'!$B:$B,$B$110,'Central Hudson Data'!$O:$O,$I124,'Central Hudson Data'!$S:$S,$H124,'Central Hudson Data'!H:H,$K$111)</f>
        <v>0</v>
      </c>
      <c r="M124" s="13">
        <f>COUNTIFS('Central Hudson Data'!$O:$O,I124,'Central Hudson Data'!$S:$S,H124,'Central Hudson Data'!$B:$B,$B$110,'Central Hudson Data'!H:H,$K$111)</f>
        <v>0</v>
      </c>
    </row>
    <row r="125" spans="8:13" x14ac:dyDescent="0.25">
      <c r="H125" s="13" t="s">
        <v>92</v>
      </c>
      <c r="I125" s="13">
        <v>2015</v>
      </c>
      <c r="J125" s="217">
        <v>42339</v>
      </c>
      <c r="K125" s="13">
        <f>SUMIFS('Central Hudson Data'!$I:$I,'Central Hudson Data'!$B:$B,$B$110,'Central Hudson Data'!$O:$O,$I125,'Central Hudson Data'!$S:$S,$H125,'Central Hudson Data'!H:H,$K$111)</f>
        <v>5</v>
      </c>
      <c r="L125" s="46">
        <f>SUMIFS('Central Hudson Data'!$N:$N,'Central Hudson Data'!$B:$B,$B$110,'Central Hudson Data'!$O:$O,$I125,'Central Hudson Data'!$S:$S,$H125,'Central Hudson Data'!H:H,$K$111)</f>
        <v>49.64</v>
      </c>
      <c r="M125" s="13">
        <f>COUNTIFS('Central Hudson Data'!$O:$O,I125,'Central Hudson Data'!$S:$S,H125,'Central Hudson Data'!$B:$B,$B$110,'Central Hudson Data'!H:H,$K$111)</f>
        <v>1</v>
      </c>
    </row>
    <row r="126" spans="8:13" x14ac:dyDescent="0.25">
      <c r="H126" s="13" t="s">
        <v>81</v>
      </c>
      <c r="I126" s="13">
        <v>2016</v>
      </c>
      <c r="J126" s="217">
        <v>42370</v>
      </c>
      <c r="K126" s="13">
        <f>SUMIFS('Central Hudson Data'!$I:$I,'Central Hudson Data'!$B:$B,$B$110,'Central Hudson Data'!$O:$O,$I126,'Central Hudson Data'!$S:$S,$H126,'Central Hudson Data'!H:H,$K$111)</f>
        <v>183</v>
      </c>
      <c r="L126" s="46">
        <f>SUMIFS('Central Hudson Data'!$N:$N,'Central Hudson Data'!$B:$B,$B$110,'Central Hudson Data'!$O:$O,$I126,'Central Hudson Data'!$S:$S,$H126,'Central Hudson Data'!H:H,$K$111)</f>
        <v>68.930000000000007</v>
      </c>
      <c r="M126" s="13">
        <f>COUNTIFS('Central Hudson Data'!$O:$O,I126,'Central Hudson Data'!$S:$S,H126,'Central Hudson Data'!$B:$B,$B$110,'Central Hudson Data'!H:H,$K$111)</f>
        <v>1</v>
      </c>
    </row>
    <row r="127" spans="8:13" x14ac:dyDescent="0.25">
      <c r="H127" s="13" t="s">
        <v>82</v>
      </c>
      <c r="I127" s="13">
        <v>2016</v>
      </c>
      <c r="J127" s="217">
        <v>42401</v>
      </c>
      <c r="K127" s="13">
        <f>SUMIFS('Central Hudson Data'!$I:$I,'Central Hudson Data'!$B:$B,$B$110,'Central Hudson Data'!$O:$O,$I127,'Central Hudson Data'!$S:$S,$H127,'Central Hudson Data'!H:H,$K$111)</f>
        <v>0</v>
      </c>
      <c r="L127" s="46">
        <f>SUMIFS('Central Hudson Data'!$N:$N,'Central Hudson Data'!$B:$B,$B$110,'Central Hudson Data'!$O:$O,$I127,'Central Hudson Data'!$S:$S,$H127,'Central Hudson Data'!H:H,$K$111)</f>
        <v>0</v>
      </c>
      <c r="M127" s="13">
        <f>COUNTIFS('Central Hudson Data'!$O:$O,I127,'Central Hudson Data'!$S:$S,H127,'Central Hudson Data'!$B:$B,$B$110,'Central Hudson Data'!H:H,$K$111)</f>
        <v>0</v>
      </c>
    </row>
    <row r="128" spans="8:13" x14ac:dyDescent="0.25">
      <c r="H128" s="13" t="s">
        <v>83</v>
      </c>
      <c r="I128" s="13">
        <v>2016</v>
      </c>
      <c r="J128" s="217">
        <v>42430</v>
      </c>
      <c r="K128" s="13">
        <f>SUMIFS('Central Hudson Data'!$I:$I,'Central Hudson Data'!$B:$B,$B$110,'Central Hudson Data'!$O:$O,$I128,'Central Hudson Data'!$S:$S,$H128,'Central Hudson Data'!H:H,$K$111)</f>
        <v>37</v>
      </c>
      <c r="L128" s="46">
        <f>SUMIFS('Central Hudson Data'!$N:$N,'Central Hudson Data'!$B:$B,$B$110,'Central Hudson Data'!$O:$O,$I128,'Central Hudson Data'!$S:$S,$H128,'Central Hudson Data'!H:H,$K$111)</f>
        <v>54.03</v>
      </c>
      <c r="M128" s="13">
        <f>COUNTIFS('Central Hudson Data'!$O:$O,I128,'Central Hudson Data'!$S:$S,H128,'Central Hudson Data'!$B:$B,$B$110,'Central Hudson Data'!H:H,$K$111)</f>
        <v>1</v>
      </c>
    </row>
    <row r="129" spans="8:13" x14ac:dyDescent="0.25">
      <c r="H129" s="13" t="s">
        <v>84</v>
      </c>
      <c r="I129" s="13">
        <v>2016</v>
      </c>
      <c r="J129" s="217">
        <v>42461</v>
      </c>
      <c r="K129" s="13">
        <f>SUMIFS('Central Hudson Data'!$I:$I,'Central Hudson Data'!$B:$B,$B$110,'Central Hudson Data'!$O:$O,$I129,'Central Hudson Data'!$S:$S,$H129,'Central Hudson Data'!H:H,$K$111)</f>
        <v>0</v>
      </c>
      <c r="L129" s="46">
        <f>SUMIFS('Central Hudson Data'!$N:$N,'Central Hudson Data'!$B:$B,$B$110,'Central Hudson Data'!$O:$O,$I129,'Central Hudson Data'!$S:$S,$H129,'Central Hudson Data'!H:H,$K$111)</f>
        <v>0</v>
      </c>
      <c r="M129" s="13">
        <f>COUNTIFS('Central Hudson Data'!$O:$O,I129,'Central Hudson Data'!$S:$S,H129,'Central Hudson Data'!$B:$B,$B$110,'Central Hudson Data'!H:H,$K$111)</f>
        <v>0</v>
      </c>
    </row>
    <row r="130" spans="8:13" x14ac:dyDescent="0.25">
      <c r="H130" s="13" t="s">
        <v>85</v>
      </c>
      <c r="I130" s="13">
        <v>2016</v>
      </c>
      <c r="J130" s="217">
        <v>42491</v>
      </c>
      <c r="K130" s="13">
        <f>SUMIFS('Central Hudson Data'!$I:$I,'Central Hudson Data'!$B:$B,$B$110,'Central Hudson Data'!$O:$O,$I130,'Central Hudson Data'!$S:$S,$H130,'Central Hudson Data'!H:H,$K$111)</f>
        <v>2</v>
      </c>
      <c r="L130" s="46">
        <f>SUMIFS('Central Hudson Data'!$N:$N,'Central Hudson Data'!$B:$B,$B$110,'Central Hudson Data'!$O:$O,$I130,'Central Hudson Data'!$S:$S,$H130,'Central Hudson Data'!H:H,$K$111)</f>
        <v>49.24</v>
      </c>
      <c r="M130" s="13">
        <f>COUNTIFS('Central Hudson Data'!$O:$O,I130,'Central Hudson Data'!$S:$S,H130,'Central Hudson Data'!$B:$B,$B$110,'Central Hudson Data'!H:H,$K$111)</f>
        <v>1</v>
      </c>
    </row>
    <row r="131" spans="8:13" x14ac:dyDescent="0.25">
      <c r="H131" s="13" t="s">
        <v>86</v>
      </c>
      <c r="I131" s="13">
        <v>2016</v>
      </c>
      <c r="J131" s="217">
        <v>42522</v>
      </c>
      <c r="K131" s="13">
        <f>SUMIFS('Central Hudson Data'!$I:$I,'Central Hudson Data'!$B:$B,$B$110,'Central Hudson Data'!$O:$O,$I131,'Central Hudson Data'!$S:$S,$H131,'Central Hudson Data'!H:H,$K$111)</f>
        <v>105</v>
      </c>
      <c r="L131" s="46">
        <f>SUMIFS('Central Hudson Data'!$N:$N,'Central Hudson Data'!$B:$B,$B$110,'Central Hudson Data'!$O:$O,$I131,'Central Hudson Data'!$S:$S,$H131,'Central Hudson Data'!H:H,$K$111)</f>
        <v>36.68</v>
      </c>
      <c r="M131" s="13">
        <f>COUNTIFS('Central Hudson Data'!$O:$O,I131,'Central Hudson Data'!$S:$S,H131,'Central Hudson Data'!$B:$B,$B$110,'Central Hudson Data'!H:H,$K$111)</f>
        <v>1</v>
      </c>
    </row>
    <row r="132" spans="8:13" x14ac:dyDescent="0.25">
      <c r="H132" s="13" t="s">
        <v>87</v>
      </c>
      <c r="I132" s="13">
        <v>2016</v>
      </c>
      <c r="J132" s="217">
        <v>42552</v>
      </c>
      <c r="K132" s="13">
        <f>SUMIFS('Central Hudson Data'!$I:$I,'Central Hudson Data'!$B:$B,$B$110,'Central Hudson Data'!$O:$O,$I132,'Central Hudson Data'!$S:$S,$H132,'Central Hudson Data'!H:H,$K$111)</f>
        <v>0</v>
      </c>
      <c r="L132" s="46">
        <f>SUMIFS('Central Hudson Data'!$N:$N,'Central Hudson Data'!$B:$B,$B$110,'Central Hudson Data'!$O:$O,$I132,'Central Hudson Data'!$S:$S,$H132,'Central Hudson Data'!H:H,$K$111)</f>
        <v>0</v>
      </c>
      <c r="M132" s="13">
        <f>COUNTIFS('Central Hudson Data'!$O:$O,I132,'Central Hudson Data'!$S:$S,H132,'Central Hudson Data'!$B:$B,$B$110,'Central Hudson Data'!H:H,$K$111)</f>
        <v>0</v>
      </c>
    </row>
    <row r="133" spans="8:13" x14ac:dyDescent="0.25">
      <c r="H133" s="13" t="s">
        <v>88</v>
      </c>
      <c r="I133" s="13">
        <v>2016</v>
      </c>
      <c r="J133" s="217">
        <v>42583</v>
      </c>
      <c r="K133" s="13">
        <f>SUMIFS('Central Hudson Data'!$I:$I,'Central Hudson Data'!$B:$B,$B$110,'Central Hudson Data'!$O:$O,$I133,'Central Hudson Data'!$S:$S,$H133,'Central Hudson Data'!H:H,$K$111)</f>
        <v>148</v>
      </c>
      <c r="L133" s="46">
        <f>SUMIFS('Central Hudson Data'!$N:$N,'Central Hudson Data'!$B:$B,$B$110,'Central Hudson Data'!$O:$O,$I133,'Central Hudson Data'!$S:$S,$H133,'Central Hudson Data'!H:H,$K$111)</f>
        <v>68.16</v>
      </c>
      <c r="M133" s="13">
        <f>COUNTIFS('Central Hudson Data'!$O:$O,I133,'Central Hudson Data'!$S:$S,H133,'Central Hudson Data'!$B:$B,$B$110,'Central Hudson Data'!H:H,$K$111)</f>
        <v>2</v>
      </c>
    </row>
    <row r="134" spans="8:13" x14ac:dyDescent="0.25">
      <c r="H134" s="13" t="s">
        <v>89</v>
      </c>
      <c r="I134" s="13">
        <v>2016</v>
      </c>
      <c r="J134" s="217">
        <v>42614</v>
      </c>
      <c r="K134" s="13">
        <f>SUMIFS('Central Hudson Data'!$I:$I,'Central Hudson Data'!$B:$B,$B$110,'Central Hudson Data'!$O:$O,$I134,'Central Hudson Data'!$S:$S,$H134,'Central Hudson Data'!H:H,$K$111)</f>
        <v>39</v>
      </c>
      <c r="L134" s="46">
        <f>SUMIFS('Central Hudson Data'!$N:$N,'Central Hudson Data'!$B:$B,$B$110,'Central Hudson Data'!$O:$O,$I134,'Central Hudson Data'!$S:$S,$H134,'Central Hudson Data'!H:H,$K$111)</f>
        <v>29.83</v>
      </c>
      <c r="M134" s="13">
        <f>COUNTIFS('Central Hudson Data'!$O:$O,I134,'Central Hudson Data'!$S:$S,H134,'Central Hudson Data'!$B:$B,$B$110,'Central Hudson Data'!H:H,$K$111)</f>
        <v>1</v>
      </c>
    </row>
    <row r="135" spans="8:13" x14ac:dyDescent="0.25">
      <c r="H135" s="13" t="s">
        <v>90</v>
      </c>
      <c r="I135" s="13">
        <v>2016</v>
      </c>
      <c r="J135" s="217">
        <v>42644</v>
      </c>
      <c r="K135" s="13">
        <f>SUMIFS('Central Hudson Data'!$I:$I,'Central Hudson Data'!$B:$B,$B$110,'Central Hudson Data'!$O:$O,$I135,'Central Hudson Data'!$S:$S,$H135,'Central Hudson Data'!H:H,$K$111)</f>
        <v>2</v>
      </c>
      <c r="L135" s="46">
        <f>SUMIFS('Central Hudson Data'!$N:$N,'Central Hudson Data'!$B:$B,$B$110,'Central Hudson Data'!$O:$O,$I135,'Central Hudson Data'!$S:$S,$H135,'Central Hudson Data'!H:H,$K$111)</f>
        <v>24.75</v>
      </c>
      <c r="M135" s="13">
        <f>COUNTIFS('Central Hudson Data'!$O:$O,I135,'Central Hudson Data'!$S:$S,H135,'Central Hudson Data'!$B:$B,$B$110,'Central Hudson Data'!H:H,$K$111)</f>
        <v>1</v>
      </c>
    </row>
    <row r="136" spans="8:13" x14ac:dyDescent="0.25">
      <c r="H136" s="13" t="s">
        <v>91</v>
      </c>
      <c r="I136" s="13">
        <v>2016</v>
      </c>
      <c r="J136" s="217">
        <v>42675</v>
      </c>
      <c r="K136" s="13">
        <f>SUMIFS('Central Hudson Data'!$I:$I,'Central Hudson Data'!$B:$B,$B$110,'Central Hudson Data'!$O:$O,$I136,'Central Hudson Data'!$S:$S,$H136,'Central Hudson Data'!H:H,$K$111)</f>
        <v>541</v>
      </c>
      <c r="L136" s="46">
        <f>SUMIFS('Central Hudson Data'!$N:$N,'Central Hudson Data'!$B:$B,$B$110,'Central Hudson Data'!$O:$O,$I136,'Central Hudson Data'!$S:$S,$H136,'Central Hudson Data'!H:H,$K$111)</f>
        <v>99.42</v>
      </c>
      <c r="M136" s="13">
        <f>COUNTIFS('Central Hudson Data'!$O:$O,I136,'Central Hudson Data'!$S:$S,H136,'Central Hudson Data'!$B:$B,$B$110,'Central Hudson Data'!H:H,$K$111)</f>
        <v>1</v>
      </c>
    </row>
    <row r="137" spans="8:13" x14ac:dyDescent="0.25">
      <c r="H137" s="13" t="s">
        <v>92</v>
      </c>
      <c r="I137" s="13">
        <v>2016</v>
      </c>
      <c r="J137" s="217">
        <v>42705</v>
      </c>
      <c r="K137" s="13">
        <f>SUMIFS('Central Hudson Data'!$I:$I,'Central Hudson Data'!$B:$B,$B$110,'Central Hudson Data'!$O:$O,$I137,'Central Hudson Data'!$S:$S,$H137,'Central Hudson Data'!H:H,$K$111)</f>
        <v>0</v>
      </c>
      <c r="L137" s="46">
        <f>SUMIFS('Central Hudson Data'!$N:$N,'Central Hudson Data'!$B:$B,$B$110,'Central Hudson Data'!$O:$O,$I137,'Central Hudson Data'!$S:$S,$H137,'Central Hudson Data'!H:H,$K$111)</f>
        <v>0</v>
      </c>
      <c r="M137" s="13">
        <f>COUNTIFS('Central Hudson Data'!$O:$O,I137,'Central Hudson Data'!$S:$S,H137,'Central Hudson Data'!$B:$B,$B$110,'Central Hudson Data'!H:H,$K$111)</f>
        <v>0</v>
      </c>
    </row>
    <row r="138" spans="8:13" x14ac:dyDescent="0.25">
      <c r="H138" s="13" t="s">
        <v>81</v>
      </c>
      <c r="I138" s="13">
        <v>2017</v>
      </c>
      <c r="J138" s="217">
        <v>42736</v>
      </c>
      <c r="K138" s="13">
        <f>SUMIFS('Central Hudson Data'!$I:$I,'Central Hudson Data'!$B:$B,$B$110,'Central Hudson Data'!$O:$O,$I138,'Central Hudson Data'!$S:$S,$H138,'Central Hudson Data'!H:H,$K$111)</f>
        <v>103</v>
      </c>
      <c r="L138" s="46">
        <f>SUMIFS('Central Hudson Data'!$N:$N,'Central Hudson Data'!$B:$B,$B$110,'Central Hudson Data'!$O:$O,$I138,'Central Hudson Data'!$S:$S,$H138,'Central Hudson Data'!H:H,$K$111)</f>
        <v>37.46</v>
      </c>
      <c r="M138" s="13">
        <f>COUNTIFS('Central Hudson Data'!$O:$O,I138,'Central Hudson Data'!$S:$S,H138,'Central Hudson Data'!$B:$B,$B$110,'Central Hudson Data'!H:H,$K$111)</f>
        <v>1</v>
      </c>
    </row>
    <row r="139" spans="8:13" x14ac:dyDescent="0.25">
      <c r="H139" s="13" t="s">
        <v>82</v>
      </c>
      <c r="I139" s="13">
        <v>2017</v>
      </c>
      <c r="J139" s="217">
        <v>42767</v>
      </c>
      <c r="K139" s="13">
        <f>SUMIFS('Central Hudson Data'!$I:$I,'Central Hudson Data'!$B:$B,$B$110,'Central Hudson Data'!$O:$O,$I139,'Central Hudson Data'!$S:$S,$H139,'Central Hudson Data'!H:H,$K$111)</f>
        <v>90</v>
      </c>
      <c r="L139" s="46">
        <f>SUMIFS('Central Hudson Data'!$N:$N,'Central Hudson Data'!$B:$B,$B$110,'Central Hudson Data'!$O:$O,$I139,'Central Hudson Data'!$S:$S,$H139,'Central Hudson Data'!H:H,$K$111)</f>
        <v>35.270000000000003</v>
      </c>
      <c r="M139" s="13">
        <f>COUNTIFS('Central Hudson Data'!$O:$O,I139,'Central Hudson Data'!$S:$S,H139,'Central Hudson Data'!$B:$B,$B$110,'Central Hudson Data'!H:H,$K$111)</f>
        <v>1</v>
      </c>
    </row>
    <row r="140" spans="8:13" x14ac:dyDescent="0.25">
      <c r="H140" s="13" t="s">
        <v>83</v>
      </c>
      <c r="I140" s="13">
        <v>2017</v>
      </c>
      <c r="J140" s="217">
        <v>42795</v>
      </c>
      <c r="K140" s="13">
        <f>SUMIFS('Central Hudson Data'!$I:$I,'Central Hudson Data'!$B:$B,$B$110,'Central Hudson Data'!$O:$O,$I140,'Central Hudson Data'!$S:$S,$H140,'Central Hudson Data'!H:H,$K$111)</f>
        <v>35</v>
      </c>
      <c r="L140" s="46">
        <f>SUMIFS('Central Hudson Data'!$N:$N,'Central Hudson Data'!$B:$B,$B$110,'Central Hudson Data'!$O:$O,$I140,'Central Hudson Data'!$S:$S,$H140,'Central Hudson Data'!H:H,$K$111)</f>
        <v>53.07</v>
      </c>
      <c r="M140" s="13">
        <f>COUNTIFS('Central Hudson Data'!$O:$O,I140,'Central Hudson Data'!$S:$S,H140,'Central Hudson Data'!$B:$B,$B$110,'Central Hudson Data'!H:H,$K$111)</f>
        <v>2</v>
      </c>
    </row>
    <row r="141" spans="8:13" x14ac:dyDescent="0.25">
      <c r="H141" s="13" t="s">
        <v>84</v>
      </c>
      <c r="I141" s="13">
        <v>2017</v>
      </c>
      <c r="J141" s="217">
        <v>42826</v>
      </c>
      <c r="K141" s="13">
        <f>SUMIFS('Central Hudson Data'!$I:$I,'Central Hudson Data'!$B:$B,$B$110,'Central Hudson Data'!$O:$O,$I141,'Central Hudson Data'!$S:$S,$H141,'Central Hudson Data'!H:H,$K$111)</f>
        <v>0</v>
      </c>
      <c r="L141" s="46">
        <f>SUMIFS('Central Hudson Data'!$N:$N,'Central Hudson Data'!$B:$B,$B$110,'Central Hudson Data'!$O:$O,$I141,'Central Hudson Data'!$S:$S,$H141,'Central Hudson Data'!H:H,$K$111)</f>
        <v>0</v>
      </c>
      <c r="M141" s="13">
        <f>COUNTIFS('Central Hudson Data'!$O:$O,I141,'Central Hudson Data'!$S:$S,H141,'Central Hudson Data'!$B:$B,$B$110,'Central Hudson Data'!H:H,$K$111)</f>
        <v>0</v>
      </c>
    </row>
    <row r="142" spans="8:13" x14ac:dyDescent="0.25">
      <c r="H142" s="13" t="s">
        <v>85</v>
      </c>
      <c r="I142" s="13">
        <v>2017</v>
      </c>
      <c r="J142" s="217">
        <v>42856</v>
      </c>
      <c r="K142" s="13">
        <f>SUMIFS('Central Hudson Data'!$I:$I,'Central Hudson Data'!$B:$B,$B$110,'Central Hudson Data'!$O:$O,$I142,'Central Hudson Data'!$S:$S,$H142,'Central Hudson Data'!H:H,$K$111)</f>
        <v>2</v>
      </c>
      <c r="L142" s="46">
        <f>SUMIFS('Central Hudson Data'!$N:$N,'Central Hudson Data'!$B:$B,$B$110,'Central Hudson Data'!$O:$O,$I142,'Central Hudson Data'!$S:$S,$H142,'Central Hudson Data'!H:H,$K$111)</f>
        <v>49.269999999999996</v>
      </c>
      <c r="M142" s="13">
        <f>COUNTIFS('Central Hudson Data'!$O:$O,I142,'Central Hudson Data'!$S:$S,H142,'Central Hudson Data'!$B:$B,$B$110,'Central Hudson Data'!H:H,$K$111)</f>
        <v>2</v>
      </c>
    </row>
    <row r="143" spans="8:13" x14ac:dyDescent="0.25">
      <c r="H143" s="13" t="s">
        <v>86</v>
      </c>
      <c r="I143" s="13">
        <v>2017</v>
      </c>
      <c r="J143" s="217">
        <v>42887</v>
      </c>
      <c r="K143" s="13">
        <f>SUMIFS('Central Hudson Data'!$I:$I,'Central Hudson Data'!$B:$B,$B$110,'Central Hudson Data'!$O:$O,$I143,'Central Hudson Data'!$S:$S,$H143,'Central Hudson Data'!H:H,$K$111)</f>
        <v>37</v>
      </c>
      <c r="L143" s="46">
        <f>SUMIFS('Central Hudson Data'!$N:$N,'Central Hudson Data'!$B:$B,$B$110,'Central Hudson Data'!$O:$O,$I143,'Central Hudson Data'!$S:$S,$H143,'Central Hudson Data'!H:H,$K$111)</f>
        <v>28.71</v>
      </c>
      <c r="M143" s="13">
        <f>COUNTIFS('Central Hudson Data'!$O:$O,I143,'Central Hudson Data'!$S:$S,H143,'Central Hudson Data'!$B:$B,$B$110,'Central Hudson Data'!H:H,$K$111)</f>
        <v>1</v>
      </c>
    </row>
    <row r="144" spans="8:13" x14ac:dyDescent="0.25">
      <c r="H144" s="13" t="s">
        <v>87</v>
      </c>
      <c r="I144" s="13">
        <v>2017</v>
      </c>
      <c r="J144" s="217">
        <v>42917</v>
      </c>
      <c r="K144" s="13">
        <f>SUMIFS('Central Hudson Data'!$I:$I,'Central Hudson Data'!$B:$B,$B$110,'Central Hudson Data'!$O:$O,$I144,'Central Hudson Data'!$S:$S,$H144,'Central Hudson Data'!H:H,$K$111)</f>
        <v>54</v>
      </c>
      <c r="L144" s="46">
        <f>SUMIFS('Central Hudson Data'!$N:$N,'Central Hudson Data'!$B:$B,$B$110,'Central Hudson Data'!$O:$O,$I144,'Central Hudson Data'!$S:$S,$H144,'Central Hudson Data'!H:H,$K$111)</f>
        <v>32.22</v>
      </c>
      <c r="M144" s="13">
        <f>COUNTIFS('Central Hudson Data'!$O:$O,I144,'Central Hudson Data'!$S:$S,H144,'Central Hudson Data'!$B:$B,$B$110,'Central Hudson Data'!H:H,$K$111)</f>
        <v>1</v>
      </c>
    </row>
    <row r="145" spans="8:13" x14ac:dyDescent="0.25">
      <c r="H145" s="13" t="s">
        <v>88</v>
      </c>
      <c r="I145" s="13">
        <v>2017</v>
      </c>
      <c r="J145" s="217">
        <v>42948</v>
      </c>
      <c r="K145" s="13">
        <f>SUMIFS('Central Hudson Data'!$I:$I,'Central Hudson Data'!$B:$B,$B$110,'Central Hudson Data'!$O:$O,$I145,'Central Hudson Data'!$S:$S,$H145,'Central Hudson Data'!H:H,$K$111)</f>
        <v>96</v>
      </c>
      <c r="L145" s="46">
        <f>SUMIFS('Central Hudson Data'!$N:$N,'Central Hudson Data'!$B:$B,$B$110,'Central Hudson Data'!$O:$O,$I145,'Central Hudson Data'!$S:$S,$H145,'Central Hudson Data'!H:H,$K$111)</f>
        <v>38.57</v>
      </c>
      <c r="M145" s="13">
        <f>COUNTIFS('Central Hudson Data'!$O:$O,I145,'Central Hudson Data'!$S:$S,H145,'Central Hudson Data'!$B:$B,$B$110,'Central Hudson Data'!H:H,$K$111)</f>
        <v>1</v>
      </c>
    </row>
    <row r="146" spans="8:13" x14ac:dyDescent="0.25">
      <c r="H146" s="13" t="s">
        <v>89</v>
      </c>
      <c r="I146" s="13">
        <v>2017</v>
      </c>
      <c r="J146" s="217">
        <v>42979</v>
      </c>
      <c r="K146" s="13">
        <f>SUMIFS('Central Hudson Data'!$I:$I,'Central Hudson Data'!$B:$B,$B$110,'Central Hudson Data'!$O:$O,$I146,'Central Hudson Data'!$S:$S,$H146,'Central Hudson Data'!H:H,$K$111)</f>
        <v>52</v>
      </c>
      <c r="L146" s="46">
        <f>SUMIFS('Central Hudson Data'!$N:$N,'Central Hudson Data'!$B:$B,$B$110,'Central Hudson Data'!$O:$O,$I146,'Central Hudson Data'!$S:$S,$H146,'Central Hudson Data'!H:H,$K$111)</f>
        <v>31.4</v>
      </c>
      <c r="M146" s="13">
        <f>COUNTIFS('Central Hudson Data'!$O:$O,I146,'Central Hudson Data'!$S:$S,H146,'Central Hudson Data'!$B:$B,$B$110,'Central Hudson Data'!H:H,$K$111)</f>
        <v>1</v>
      </c>
    </row>
    <row r="147" spans="8:13" x14ac:dyDescent="0.25">
      <c r="H147" s="13" t="s">
        <v>90</v>
      </c>
      <c r="I147" s="13">
        <v>2017</v>
      </c>
      <c r="J147" s="217">
        <v>43009</v>
      </c>
      <c r="K147" s="13">
        <f>SUMIFS('Central Hudson Data'!$I:$I,'Central Hudson Data'!$B:$B,$B$110,'Central Hudson Data'!$O:$O,$I147,'Central Hudson Data'!$S:$S,$H147,'Central Hudson Data'!H:H,$K$111)</f>
        <v>84</v>
      </c>
      <c r="L147" s="46">
        <f>SUMIFS('Central Hudson Data'!$N:$N,'Central Hudson Data'!$B:$B,$B$110,'Central Hudson Data'!$O:$O,$I147,'Central Hudson Data'!$S:$S,$H147,'Central Hudson Data'!H:H,$K$111)</f>
        <v>36.01</v>
      </c>
      <c r="M147" s="13">
        <f>COUNTIFS('Central Hudson Data'!$O:$O,I147,'Central Hudson Data'!$S:$S,H147,'Central Hudson Data'!$B:$B,$B$110,'Central Hudson Data'!H:H,$K$111)</f>
        <v>1</v>
      </c>
    </row>
    <row r="148" spans="8:13" x14ac:dyDescent="0.25">
      <c r="H148" s="13" t="s">
        <v>91</v>
      </c>
      <c r="I148" s="13">
        <v>2017</v>
      </c>
      <c r="J148" s="217">
        <v>43040</v>
      </c>
      <c r="K148" s="13">
        <f>SUMIFS('Central Hudson Data'!$I:$I,'Central Hudson Data'!$B:$B,$B$110,'Central Hudson Data'!$O:$O,$I148,'Central Hudson Data'!$S:$S,$H148,'Central Hudson Data'!H:H,$K$111)</f>
        <v>43</v>
      </c>
      <c r="L148" s="46">
        <f>SUMIFS('Central Hudson Data'!$N:$N,'Central Hudson Data'!$B:$B,$B$110,'Central Hudson Data'!$O:$O,$I148,'Central Hudson Data'!$S:$S,$H148,'Central Hudson Data'!H:H,$K$111)</f>
        <v>55.06</v>
      </c>
      <c r="M148" s="13">
        <f>COUNTIFS('Central Hudson Data'!$O:$O,I148,'Central Hudson Data'!$S:$S,H148,'Central Hudson Data'!$B:$B,$B$110,'Central Hudson Data'!H:H,$K$111)</f>
        <v>1</v>
      </c>
    </row>
    <row r="149" spans="8:13" x14ac:dyDescent="0.25">
      <c r="H149" s="13" t="s">
        <v>92</v>
      </c>
      <c r="I149" s="13">
        <v>2017</v>
      </c>
      <c r="J149" s="217">
        <v>43070</v>
      </c>
      <c r="K149" s="13">
        <f>SUMIFS('Central Hudson Data'!$I:$I,'Central Hudson Data'!$B:$B,$B$110,'Central Hudson Data'!$O:$O,$I149,'Central Hudson Data'!$S:$S,$H149,'Central Hudson Data'!H:H,$K$111)</f>
        <v>0</v>
      </c>
      <c r="L149" s="46">
        <f>SUMIFS('Central Hudson Data'!$N:$N,'Central Hudson Data'!$B:$B,$B$110,'Central Hudson Data'!$O:$O,$I149,'Central Hudson Data'!$S:$S,$H149,'Central Hudson Data'!H:H,$K$111)</f>
        <v>0</v>
      </c>
      <c r="M149" s="13">
        <f>COUNTIFS('Central Hudson Data'!$O:$O,I149,'Central Hudson Data'!$S:$S,H149,'Central Hudson Data'!$B:$B,$B$110,'Central Hudson Data'!H:H,$K$111)</f>
        <v>0</v>
      </c>
    </row>
    <row r="150" spans="8:13" x14ac:dyDescent="0.25">
      <c r="H150" s="13" t="s">
        <v>81</v>
      </c>
      <c r="I150" s="13">
        <v>2018</v>
      </c>
      <c r="J150" s="217">
        <v>43101</v>
      </c>
      <c r="K150" s="13">
        <f>SUMIFS('Central Hudson Data'!$I:$I,'Central Hudson Data'!$B:$B,$B$110,'Central Hudson Data'!$O:$O,$I150,'Central Hudson Data'!$S:$S,$H150,'Central Hudson Data'!H:H,$K$111)</f>
        <v>330</v>
      </c>
      <c r="L150" s="46">
        <f>SUMIFS('Central Hudson Data'!$N:$N,'Central Hudson Data'!$B:$B,$B$110,'Central Hudson Data'!$O:$O,$I150,'Central Hudson Data'!$S:$S,$H150,'Central Hudson Data'!H:H,$K$111)</f>
        <v>98.789999999999992</v>
      </c>
      <c r="M150" s="13">
        <f>COUNTIFS('Central Hudson Data'!$O:$O,I150,'Central Hudson Data'!$S:$S,H150,'Central Hudson Data'!$B:$B,$B$110,'Central Hudson Data'!H:H,$K$111)</f>
        <v>2</v>
      </c>
    </row>
    <row r="151" spans="8:13" x14ac:dyDescent="0.25">
      <c r="H151" s="13" t="s">
        <v>82</v>
      </c>
      <c r="I151" s="13">
        <v>2018</v>
      </c>
      <c r="J151" s="217">
        <v>43132</v>
      </c>
      <c r="K151" s="13">
        <f>SUMIFS('Central Hudson Data'!$I:$I,'Central Hudson Data'!$B:$B,$B$110,'Central Hudson Data'!$O:$O,$I151,'Central Hudson Data'!$S:$S,$H151,'Central Hudson Data'!H:H,$K$111)</f>
        <v>0</v>
      </c>
      <c r="L151" s="46">
        <f>SUMIFS('Central Hudson Data'!$N:$N,'Central Hudson Data'!$B:$B,$B$110,'Central Hudson Data'!$O:$O,$I151,'Central Hudson Data'!$S:$S,$H151,'Central Hudson Data'!H:H,$K$111)</f>
        <v>0</v>
      </c>
      <c r="M151" s="13">
        <f>COUNTIFS('Central Hudson Data'!$O:$O,I151,'Central Hudson Data'!$S:$S,H151,'Central Hudson Data'!$B:$B,$B$110,'Central Hudson Data'!H:H,$K$111)</f>
        <v>0</v>
      </c>
    </row>
    <row r="152" spans="8:13" x14ac:dyDescent="0.25">
      <c r="H152" s="13" t="s">
        <v>83</v>
      </c>
      <c r="I152" s="13">
        <v>2018</v>
      </c>
      <c r="J152" s="217">
        <v>43160</v>
      </c>
      <c r="K152" s="13">
        <f>SUMIFS('Central Hudson Data'!$I:$I,'Central Hudson Data'!$B:$B,$B$110,'Central Hudson Data'!$O:$O,$I152,'Central Hudson Data'!$S:$S,$H152,'Central Hudson Data'!H:H,$K$111)</f>
        <v>0</v>
      </c>
      <c r="L152" s="46">
        <f>SUMIFS('Central Hudson Data'!$N:$N,'Central Hudson Data'!$B:$B,$B$110,'Central Hudson Data'!$O:$O,$I152,'Central Hudson Data'!$S:$S,$H152,'Central Hudson Data'!H:H,$K$111)</f>
        <v>0</v>
      </c>
      <c r="M152" s="13">
        <f>COUNTIFS('Central Hudson Data'!$O:$O,I152,'Central Hudson Data'!$S:$S,H152,'Central Hudson Data'!$B:$B,$B$110,'Central Hudson Data'!H:H,$K$111)</f>
        <v>1</v>
      </c>
    </row>
    <row r="153" spans="8:13" x14ac:dyDescent="0.25">
      <c r="H153" s="13" t="s">
        <v>84</v>
      </c>
      <c r="I153" s="13">
        <v>2018</v>
      </c>
      <c r="J153" s="217">
        <v>43191</v>
      </c>
      <c r="K153" s="13">
        <f>SUMIFS('Central Hudson Data'!$I:$I,'Central Hudson Data'!$B:$B,$B$110,'Central Hudson Data'!$O:$O,$I153,'Central Hudson Data'!$S:$S,$H153,'Central Hudson Data'!H:H,$K$111)</f>
        <v>0</v>
      </c>
      <c r="L153" s="46">
        <f>SUMIFS('Central Hudson Data'!$N:$N,'Central Hudson Data'!$B:$B,$B$110,'Central Hudson Data'!$O:$O,$I153,'Central Hudson Data'!$S:$S,$H153,'Central Hudson Data'!H:H,$K$111)</f>
        <v>0</v>
      </c>
      <c r="M153" s="13">
        <f>COUNTIFS('Central Hudson Data'!$O:$O,I153,'Central Hudson Data'!$S:$S,H153,'Central Hudson Data'!$B:$B,$B$110,'Central Hudson Data'!H:H,$K$111)</f>
        <v>1</v>
      </c>
    </row>
    <row r="154" spans="8:13" x14ac:dyDescent="0.25">
      <c r="H154" s="13" t="s">
        <v>85</v>
      </c>
      <c r="I154" s="13">
        <v>2018</v>
      </c>
      <c r="J154" s="217">
        <v>43221</v>
      </c>
      <c r="K154" s="13">
        <f>SUMIFS('Central Hudson Data'!$I:$I,'Central Hudson Data'!$B:$B,$B$110,'Central Hudson Data'!$O:$O,$I154,'Central Hudson Data'!$S:$S,$H154,'Central Hudson Data'!H:H,$K$111)</f>
        <v>66</v>
      </c>
      <c r="L154" s="46">
        <f>SUMIFS('Central Hudson Data'!$N:$N,'Central Hudson Data'!$B:$B,$B$110,'Central Hudson Data'!$O:$O,$I154,'Central Hudson Data'!$S:$S,$H154,'Central Hudson Data'!H:H,$K$111)</f>
        <v>108.22</v>
      </c>
      <c r="M154" s="13">
        <f>COUNTIFS('Central Hudson Data'!$O:$O,I154,'Central Hudson Data'!$S:$S,H154,'Central Hudson Data'!$B:$B,$B$110,'Central Hudson Data'!H:H,$K$111)</f>
        <v>2</v>
      </c>
    </row>
    <row r="155" spans="8:13" x14ac:dyDescent="0.25">
      <c r="H155" s="13" t="s">
        <v>86</v>
      </c>
      <c r="I155" s="13">
        <v>2018</v>
      </c>
      <c r="J155" s="217">
        <v>43252</v>
      </c>
      <c r="K155" s="13">
        <f>SUMIFS('Central Hudson Data'!$I:$I,'Central Hudson Data'!$B:$B,$B$110,'Central Hudson Data'!$O:$O,$I155,'Central Hudson Data'!$S:$S,$H155,'Central Hudson Data'!H:H,$K$111)</f>
        <v>15</v>
      </c>
      <c r="L155" s="46">
        <f>SUMIFS('Central Hudson Data'!$N:$N,'Central Hudson Data'!$B:$B,$B$110,'Central Hudson Data'!$O:$O,$I155,'Central Hudson Data'!$S:$S,$H155,'Central Hudson Data'!H:H,$K$111)</f>
        <v>26.71</v>
      </c>
      <c r="M155" s="13">
        <f>COUNTIFS('Central Hudson Data'!$O:$O,I155,'Central Hudson Data'!$S:$S,H155,'Central Hudson Data'!$B:$B,$B$110,'Central Hudson Data'!H:H,$K$111)</f>
        <v>1</v>
      </c>
    </row>
    <row r="156" spans="8:13" x14ac:dyDescent="0.25">
      <c r="H156" s="13" t="s">
        <v>87</v>
      </c>
      <c r="I156" s="13">
        <v>2018</v>
      </c>
      <c r="J156" s="217">
        <v>43282</v>
      </c>
      <c r="K156" s="13">
        <f>SUMIFS('Central Hudson Data'!$I:$I,'Central Hudson Data'!$B:$B,$B$110,'Central Hudson Data'!$O:$O,$I156,'Central Hudson Data'!$S:$S,$H156,'Central Hudson Data'!H:H,$K$111)</f>
        <v>0</v>
      </c>
      <c r="L156" s="46">
        <f>SUMIFS('Central Hudson Data'!$N:$N,'Central Hudson Data'!$B:$B,$B$110,'Central Hudson Data'!$O:$O,$I156,'Central Hudson Data'!$S:$S,$H156,'Central Hudson Data'!H:H,$K$111)</f>
        <v>0</v>
      </c>
      <c r="M156" s="13">
        <f>COUNTIFS('Central Hudson Data'!$O:$O,I156,'Central Hudson Data'!$S:$S,H156,'Central Hudson Data'!$B:$B,$B$110,'Central Hudson Data'!H:H,$K$111)</f>
        <v>0</v>
      </c>
    </row>
    <row r="157" spans="8:13" x14ac:dyDescent="0.25">
      <c r="H157" s="13" t="s">
        <v>88</v>
      </c>
      <c r="I157" s="13">
        <v>2018</v>
      </c>
      <c r="J157" s="217">
        <v>43313</v>
      </c>
      <c r="K157" s="13">
        <f>SUMIFS('Central Hudson Data'!$I:$I,'Central Hudson Data'!$B:$B,$B$110,'Central Hudson Data'!$O:$O,$I157,'Central Hudson Data'!$S:$S,$H157,'Central Hudson Data'!H:H,$K$111)</f>
        <v>69</v>
      </c>
      <c r="L157" s="46">
        <f>SUMIFS('Central Hudson Data'!$N:$N,'Central Hudson Data'!$B:$B,$B$110,'Central Hudson Data'!$O:$O,$I157,'Central Hudson Data'!$S:$S,$H157,'Central Hudson Data'!H:H,$K$111)</f>
        <v>32.520000000000003</v>
      </c>
      <c r="M157" s="13">
        <f>COUNTIFS('Central Hudson Data'!$O:$O,I157,'Central Hudson Data'!$S:$S,H157,'Central Hudson Data'!$B:$B,$B$110,'Central Hudson Data'!H:H,$K$111)</f>
        <v>1</v>
      </c>
    </row>
    <row r="158" spans="8:13" x14ac:dyDescent="0.25">
      <c r="H158" s="13" t="s">
        <v>89</v>
      </c>
      <c r="I158" s="13">
        <v>2018</v>
      </c>
      <c r="J158" s="217">
        <v>43344</v>
      </c>
      <c r="K158" s="13">
        <f>SUMIFS('Central Hudson Data'!$I:$I,'Central Hudson Data'!$B:$B,$B$110,'Central Hudson Data'!$O:$O,$I158,'Central Hudson Data'!$S:$S,$H158,'Central Hudson Data'!H:H,$K$111)</f>
        <v>0</v>
      </c>
      <c r="L158" s="46">
        <f>SUMIFS('Central Hudson Data'!$N:$N,'Central Hudson Data'!$B:$B,$B$110,'Central Hudson Data'!$O:$O,$I158,'Central Hudson Data'!$S:$S,$H158,'Central Hudson Data'!H:H,$K$111)</f>
        <v>0</v>
      </c>
      <c r="M158" s="13">
        <f>COUNTIFS('Central Hudson Data'!$O:$O,I158,'Central Hudson Data'!$S:$S,H158,'Central Hudson Data'!$B:$B,$B$110,'Central Hudson Data'!H:H,$K$111)</f>
        <v>0</v>
      </c>
    </row>
    <row r="159" spans="8:13" x14ac:dyDescent="0.25">
      <c r="H159" s="13" t="s">
        <v>90</v>
      </c>
      <c r="I159" s="13">
        <v>2018</v>
      </c>
      <c r="J159" s="217">
        <v>43374</v>
      </c>
      <c r="K159" s="13">
        <f>SUMIFS('Central Hudson Data'!$I:$I,'Central Hudson Data'!$B:$B,$B$110,'Central Hudson Data'!$O:$O,$I159,'Central Hudson Data'!$S:$S,$H159,'Central Hudson Data'!H:H,$K$111)</f>
        <v>22</v>
      </c>
      <c r="L159" s="46">
        <f>SUMIFS('Central Hudson Data'!$N:$N,'Central Hudson Data'!$B:$B,$B$110,'Central Hudson Data'!$O:$O,$I159,'Central Hudson Data'!$S:$S,$H159,'Central Hudson Data'!H:H,$K$111)</f>
        <v>25.07</v>
      </c>
      <c r="M159" s="13">
        <f>COUNTIFS('Central Hudson Data'!$O:$O,I159,'Central Hudson Data'!$S:$S,H159,'Central Hudson Data'!$B:$B,$B$110,'Central Hudson Data'!H:H,$K$111)</f>
        <v>1</v>
      </c>
    </row>
    <row r="160" spans="8:13" x14ac:dyDescent="0.25">
      <c r="H160" s="13" t="s">
        <v>91</v>
      </c>
      <c r="I160" s="13">
        <v>2018</v>
      </c>
      <c r="J160" s="217">
        <v>43405</v>
      </c>
      <c r="K160" s="13">
        <f>SUMIFS('Central Hudson Data'!$I:$I,'Central Hudson Data'!$B:$B,$B$110,'Central Hudson Data'!$O:$O,$I160,'Central Hudson Data'!$S:$S,$H160,'Central Hudson Data'!H:H,$K$111)</f>
        <v>21</v>
      </c>
      <c r="L160" s="46">
        <f>SUMIFS('Central Hudson Data'!$N:$N,'Central Hudson Data'!$B:$B,$B$110,'Central Hudson Data'!$O:$O,$I160,'Central Hudson Data'!$S:$S,$H160,'Central Hudson Data'!H:H,$K$111)</f>
        <v>24.36</v>
      </c>
      <c r="M160" s="13">
        <f>COUNTIFS('Central Hudson Data'!$O:$O,I160,'Central Hudson Data'!$S:$S,H160,'Central Hudson Data'!$B:$B,$B$110,'Central Hudson Data'!H:H,$K$111)</f>
        <v>1</v>
      </c>
    </row>
    <row r="161" spans="8:13" x14ac:dyDescent="0.25">
      <c r="H161" s="13" t="s">
        <v>92</v>
      </c>
      <c r="I161" s="13">
        <v>2018</v>
      </c>
      <c r="J161" s="217">
        <v>43435</v>
      </c>
      <c r="K161" s="13">
        <f>SUMIFS('Central Hudson Data'!$I:$I,'Central Hudson Data'!$B:$B,$B$110,'Central Hudson Data'!$O:$O,$I161,'Central Hudson Data'!$S:$S,$H161,'Central Hudson Data'!H:H,$K$111)</f>
        <v>0</v>
      </c>
      <c r="L161" s="46">
        <f>SUMIFS('Central Hudson Data'!$N:$N,'Central Hudson Data'!$B:$B,$B$110,'Central Hudson Data'!$O:$O,$I161,'Central Hudson Data'!$S:$S,$H161,'Central Hudson Data'!H:H,$K$111)</f>
        <v>0</v>
      </c>
      <c r="M161" s="13">
        <f>COUNTIFS('Central Hudson Data'!$O:$O,I161,'Central Hudson Data'!$S:$S,H161,'Central Hudson Data'!$B:$B,$B$110,'Central Hudson Data'!H:H,$K$111)</f>
        <v>0</v>
      </c>
    </row>
    <row r="162" spans="8:13" x14ac:dyDescent="0.25">
      <c r="H162" s="13" t="s">
        <v>81</v>
      </c>
      <c r="I162" s="13">
        <v>2019</v>
      </c>
      <c r="J162" s="217">
        <v>43466</v>
      </c>
      <c r="K162" s="13">
        <f>SUMIFS('Central Hudson Data'!$I:$I,'Central Hudson Data'!$B:$B,$B$110,'Central Hudson Data'!$O:$O,$I162,'Central Hudson Data'!$S:$S,$H162,'Central Hudson Data'!H:H,$K$111)</f>
        <v>0</v>
      </c>
      <c r="L162" s="46">
        <f>SUMIFS('Central Hudson Data'!$N:$N,'Central Hudson Data'!$B:$B,$B$110,'Central Hudson Data'!$O:$O,$I162,'Central Hudson Data'!$S:$S,$H162,'Central Hudson Data'!H:H,$K$111)</f>
        <v>0</v>
      </c>
      <c r="M162" s="13">
        <f>COUNTIFS('Central Hudson Data'!$O:$O,I162,'Central Hudson Data'!$S:$S,H162,'Central Hudson Data'!$B:$B,$B$110,'Central Hudson Data'!H:H,$K$111)</f>
        <v>0</v>
      </c>
    </row>
    <row r="163" spans="8:13" x14ac:dyDescent="0.25">
      <c r="H163" s="13" t="s">
        <v>82</v>
      </c>
      <c r="I163" s="13">
        <v>2019</v>
      </c>
      <c r="J163" s="217">
        <v>43497</v>
      </c>
      <c r="K163" s="13">
        <f>SUMIFS('Central Hudson Data'!$I:$I,'Central Hudson Data'!$B:$B,$B$110,'Central Hudson Data'!$O:$O,$I163,'Central Hudson Data'!$S:$S,$H163,'Central Hudson Data'!H:H,$K$111)</f>
        <v>0</v>
      </c>
      <c r="L163" s="46">
        <f>SUMIFS('Central Hudson Data'!$N:$N,'Central Hudson Data'!$B:$B,$B$110,'Central Hudson Data'!$O:$O,$I163,'Central Hudson Data'!$S:$S,$H163,'Central Hudson Data'!H:H,$K$111)</f>
        <v>0</v>
      </c>
      <c r="M163" s="13">
        <f>COUNTIFS('Central Hudson Data'!$O:$O,I163,'Central Hudson Data'!$S:$S,H163,'Central Hudson Data'!$B:$B,$B$110,'Central Hudson Data'!H:H,$K$111)</f>
        <v>0</v>
      </c>
    </row>
    <row r="164" spans="8:13" x14ac:dyDescent="0.25">
      <c r="H164" s="13" t="s">
        <v>83</v>
      </c>
      <c r="I164" s="13">
        <v>2019</v>
      </c>
      <c r="J164" s="217">
        <v>43525</v>
      </c>
      <c r="K164" s="13">
        <f>SUMIFS('Central Hudson Data'!$I:$I,'Central Hudson Data'!$B:$B,$B$110,'Central Hudson Data'!$O:$O,$I164,'Central Hudson Data'!$S:$S,$H164,'Central Hudson Data'!H:H,$K$111)</f>
        <v>0</v>
      </c>
      <c r="L164" s="46">
        <f>SUMIFS('Central Hudson Data'!$N:$N,'Central Hudson Data'!$B:$B,$B$110,'Central Hudson Data'!$O:$O,$I164,'Central Hudson Data'!$S:$S,$H164,'Central Hudson Data'!H:H,$K$111)</f>
        <v>0</v>
      </c>
      <c r="M164" s="13">
        <f>COUNTIFS('Central Hudson Data'!$O:$O,I164,'Central Hudson Data'!$S:$S,H164,'Central Hudson Data'!$B:$B,$B$110,'Central Hudson Data'!H:H,$K$111)</f>
        <v>0</v>
      </c>
    </row>
    <row r="165" spans="8:13" x14ac:dyDescent="0.25">
      <c r="H165" s="13" t="s">
        <v>84</v>
      </c>
      <c r="I165" s="13">
        <v>2019</v>
      </c>
      <c r="J165" s="217">
        <v>43556</v>
      </c>
      <c r="K165" s="13">
        <f>SUMIFS('Central Hudson Data'!$I:$I,'Central Hudson Data'!$B:$B,$B$110,'Central Hudson Data'!$O:$O,$I165,'Central Hudson Data'!$S:$S,$H165,'Central Hudson Data'!H:H,$K$111)</f>
        <v>0</v>
      </c>
      <c r="L165" s="46">
        <f>SUMIFS('Central Hudson Data'!$N:$N,'Central Hudson Data'!$B:$B,$B$110,'Central Hudson Data'!$O:$O,$I165,'Central Hudson Data'!$S:$S,$H165,'Central Hudson Data'!H:H,$K$111)</f>
        <v>0</v>
      </c>
      <c r="M165" s="13">
        <f>COUNTIFS('Central Hudson Data'!$O:$O,I165,'Central Hudson Data'!$S:$S,H165,'Central Hudson Data'!$B:$B,$B$110,'Central Hudson Data'!H:H,$K$111)</f>
        <v>0</v>
      </c>
    </row>
    <row r="166" spans="8:13" x14ac:dyDescent="0.25">
      <c r="H166" s="13" t="s">
        <v>85</v>
      </c>
      <c r="I166" s="13">
        <v>2019</v>
      </c>
      <c r="J166" s="217">
        <v>43586</v>
      </c>
      <c r="K166" s="13">
        <f>SUMIFS('Central Hudson Data'!$I:$I,'Central Hudson Data'!$B:$B,$B$110,'Central Hudson Data'!$O:$O,$I166,'Central Hudson Data'!$S:$S,$H166,'Central Hudson Data'!H:H,$K$111)</f>
        <v>0</v>
      </c>
      <c r="L166" s="46">
        <f>SUMIFS('Central Hudson Data'!$N:$N,'Central Hudson Data'!$B:$B,$B$110,'Central Hudson Data'!$O:$O,$I166,'Central Hudson Data'!$S:$S,$H166,'Central Hudson Data'!H:H,$K$111)</f>
        <v>0</v>
      </c>
      <c r="M166" s="13">
        <f>COUNTIFS('Central Hudson Data'!$O:$O,I166,'Central Hudson Data'!$S:$S,H166,'Central Hudson Data'!$B:$B,$B$110,'Central Hudson Data'!H:H,$K$111)</f>
        <v>0</v>
      </c>
    </row>
    <row r="167" spans="8:13" x14ac:dyDescent="0.25">
      <c r="H167" s="13" t="s">
        <v>86</v>
      </c>
      <c r="I167" s="13">
        <v>2019</v>
      </c>
      <c r="J167" s="217">
        <v>43617</v>
      </c>
      <c r="K167" s="13">
        <f>SUMIFS('Central Hudson Data'!$I:$I,'Central Hudson Data'!$B:$B,$B$110,'Central Hudson Data'!$O:$O,$I167,'Central Hudson Data'!$S:$S,$H167,'Central Hudson Data'!H:H,$K$111)</f>
        <v>0</v>
      </c>
      <c r="L167" s="46">
        <f>SUMIFS('Central Hudson Data'!$N:$N,'Central Hudson Data'!$B:$B,$B$110,'Central Hudson Data'!$O:$O,$I167,'Central Hudson Data'!$S:$S,$H167,'Central Hudson Data'!H:H,$K$111)</f>
        <v>0</v>
      </c>
      <c r="M167" s="13">
        <f>COUNTIFS('Central Hudson Data'!$O:$O,I167,'Central Hudson Data'!$S:$S,H167,'Central Hudson Data'!$B:$B,$B$110,'Central Hudson Data'!H:H,$K$111)</f>
        <v>0</v>
      </c>
    </row>
    <row r="168" spans="8:13" x14ac:dyDescent="0.25">
      <c r="H168" s="13" t="s">
        <v>87</v>
      </c>
      <c r="I168" s="13">
        <v>2019</v>
      </c>
      <c r="J168" s="217">
        <v>43647</v>
      </c>
      <c r="K168" s="13">
        <f>SUMIFS('Central Hudson Data'!$I:$I,'Central Hudson Data'!$B:$B,$B$110,'Central Hudson Data'!$O:$O,$I168,'Central Hudson Data'!$S:$S,$H168,'Central Hudson Data'!H:H,$K$111)</f>
        <v>0</v>
      </c>
      <c r="L168" s="46">
        <f>SUMIFS('Central Hudson Data'!$N:$N,'Central Hudson Data'!$B:$B,$B$110,'Central Hudson Data'!$O:$O,$I168,'Central Hudson Data'!$S:$S,$H168,'Central Hudson Data'!H:H,$K$111)</f>
        <v>0</v>
      </c>
      <c r="M168" s="13">
        <f>COUNTIFS('Central Hudson Data'!$O:$O,I168,'Central Hudson Data'!$S:$S,H168,'Central Hudson Data'!$B:$B,$B$110,'Central Hudson Data'!H:H,$K$111)</f>
        <v>0</v>
      </c>
    </row>
    <row r="169" spans="8:13" x14ac:dyDescent="0.25">
      <c r="H169" s="13" t="s">
        <v>88</v>
      </c>
      <c r="I169" s="13">
        <v>2019</v>
      </c>
      <c r="J169" s="217">
        <v>43678</v>
      </c>
      <c r="K169" s="13">
        <f>SUMIFS('Central Hudson Data'!$I:$I,'Central Hudson Data'!$B:$B,$B$110,'Central Hudson Data'!$O:$O,$I169,'Central Hudson Data'!$S:$S,$H169,'Central Hudson Data'!H:H,$K$111)</f>
        <v>0</v>
      </c>
      <c r="L169" s="46">
        <f>SUMIFS('Central Hudson Data'!$N:$N,'Central Hudson Data'!$B:$B,$B$110,'Central Hudson Data'!$O:$O,$I169,'Central Hudson Data'!$S:$S,$H169,'Central Hudson Data'!H:H,$K$111)</f>
        <v>0</v>
      </c>
      <c r="M169" s="13">
        <f>COUNTIFS('Central Hudson Data'!$O:$O,I169,'Central Hudson Data'!$S:$S,H169,'Central Hudson Data'!$B:$B,$B$110,'Central Hudson Data'!H:H,$K$111)</f>
        <v>0</v>
      </c>
    </row>
    <row r="170" spans="8:13" x14ac:dyDescent="0.25">
      <c r="H170" s="13" t="s">
        <v>89</v>
      </c>
      <c r="I170" s="13">
        <v>2019</v>
      </c>
      <c r="J170" s="217">
        <v>43709</v>
      </c>
      <c r="K170" s="13">
        <f>SUMIFS('Central Hudson Data'!$I:$I,'Central Hudson Data'!$B:$B,$B$110,'Central Hudson Data'!$O:$O,$I170,'Central Hudson Data'!$S:$S,$H170,'Central Hudson Data'!H:H,$K$111)</f>
        <v>0</v>
      </c>
      <c r="L170" s="46">
        <f>SUMIFS('Central Hudson Data'!$N:$N,'Central Hudson Data'!$B:$B,$B$110,'Central Hudson Data'!$O:$O,$I170,'Central Hudson Data'!$S:$S,$H170,'Central Hudson Data'!H:H,$K$111)</f>
        <v>0</v>
      </c>
      <c r="M170" s="13">
        <f>COUNTIFS('Central Hudson Data'!$O:$O,I170,'Central Hudson Data'!$S:$S,H170,'Central Hudson Data'!$B:$B,$B$110,'Central Hudson Data'!H:H,$K$111)</f>
        <v>0</v>
      </c>
    </row>
    <row r="171" spans="8:13" x14ac:dyDescent="0.25">
      <c r="H171" s="13" t="s">
        <v>90</v>
      </c>
      <c r="I171" s="13">
        <v>2019</v>
      </c>
      <c r="J171" s="217">
        <v>43739</v>
      </c>
      <c r="K171" s="13">
        <f>SUMIFS('Central Hudson Data'!$I:$I,'Central Hudson Data'!$B:$B,$B$110,'Central Hudson Data'!$O:$O,$I171,'Central Hudson Data'!$S:$S,$H171,'Central Hudson Data'!H:H,$K$111)</f>
        <v>0</v>
      </c>
      <c r="L171" s="46">
        <f>SUMIFS('Central Hudson Data'!$N:$N,'Central Hudson Data'!$B:$B,$B$110,'Central Hudson Data'!$O:$O,$I171,'Central Hudson Data'!$S:$S,$H171,'Central Hudson Data'!H:H,$K$111)</f>
        <v>0</v>
      </c>
      <c r="M171" s="13">
        <f>COUNTIFS('Central Hudson Data'!$O:$O,I171,'Central Hudson Data'!$S:$S,H171,'Central Hudson Data'!$B:$B,$B$110,'Central Hudson Data'!H:H,$K$111)</f>
        <v>0</v>
      </c>
    </row>
    <row r="172" spans="8:13" x14ac:dyDescent="0.25">
      <c r="H172" s="13" t="s">
        <v>91</v>
      </c>
      <c r="I172" s="13">
        <v>2019</v>
      </c>
      <c r="J172" s="217">
        <v>43770</v>
      </c>
      <c r="K172" s="13">
        <f>SUMIFS('Central Hudson Data'!$I:$I,'Central Hudson Data'!$B:$B,$B$110,'Central Hudson Data'!$O:$O,$I172,'Central Hudson Data'!$S:$S,$H172,'Central Hudson Data'!H:H,$K$111)</f>
        <v>0</v>
      </c>
      <c r="L172" s="46">
        <f>SUMIFS('Central Hudson Data'!$N:$N,'Central Hudson Data'!$B:$B,$B$110,'Central Hudson Data'!$O:$O,$I172,'Central Hudson Data'!$S:$S,$H172,'Central Hudson Data'!H:H,$K$111)</f>
        <v>0</v>
      </c>
      <c r="M172" s="13">
        <f>COUNTIFS('Central Hudson Data'!$O:$O,I172,'Central Hudson Data'!$S:$S,H172,'Central Hudson Data'!$B:$B,$B$110,'Central Hudson Data'!H:H,$K$111)</f>
        <v>0</v>
      </c>
    </row>
    <row r="173" spans="8:13" x14ac:dyDescent="0.25">
      <c r="H173" s="13" t="s">
        <v>92</v>
      </c>
      <c r="I173" s="13">
        <v>2019</v>
      </c>
      <c r="J173" s="217">
        <v>43800</v>
      </c>
      <c r="K173" s="13">
        <f>SUMIFS('Central Hudson Data'!$I:$I,'Central Hudson Data'!$B:$B,$B$110,'Central Hudson Data'!$O:$O,$I173,'Central Hudson Data'!$S:$S,$H173,'Central Hudson Data'!H:H,$K$111)</f>
        <v>0</v>
      </c>
      <c r="L173" s="46">
        <f>SUMIFS('Central Hudson Data'!$N:$N,'Central Hudson Data'!$B:$B,$B$110,'Central Hudson Data'!$O:$O,$I173,'Central Hudson Data'!$S:$S,$H173,'Central Hudson Data'!H:H,$K$111)</f>
        <v>0</v>
      </c>
      <c r="M173" s="13">
        <f>COUNTIFS('Central Hudson Data'!$O:$O,I173,'Central Hudson Data'!$S:$S,H173,'Central Hudson Data'!$B:$B,$B$110,'Central Hudson Data'!H:H,$K$111)</f>
        <v>0</v>
      </c>
    </row>
  </sheetData>
  <sortState xmlns:xlrd2="http://schemas.microsoft.com/office/spreadsheetml/2017/richdata2" ref="B10:B21">
    <sortCondition ref="B10"/>
  </sortState>
  <mergeCells count="34">
    <mergeCell ref="X7:AW7"/>
    <mergeCell ref="AC8:AG8"/>
    <mergeCell ref="AH8:AL8"/>
    <mergeCell ref="X8:AB8"/>
    <mergeCell ref="BR8:BW8"/>
    <mergeCell ref="BM8:BQ8"/>
    <mergeCell ref="BH8:BL8"/>
    <mergeCell ref="BC8:BG8"/>
    <mergeCell ref="AX8:BB8"/>
    <mergeCell ref="AX7:BW7"/>
    <mergeCell ref="AR8:AW8"/>
    <mergeCell ref="AM8:AQ8"/>
    <mergeCell ref="D8:H8"/>
    <mergeCell ref="S8:W8"/>
    <mergeCell ref="N8:R8"/>
    <mergeCell ref="I8:M8"/>
    <mergeCell ref="D7:W7"/>
    <mergeCell ref="AM27:BF27"/>
    <mergeCell ref="X28:AB28"/>
    <mergeCell ref="S28:W28"/>
    <mergeCell ref="S27:AL27"/>
    <mergeCell ref="AM28:AQ28"/>
    <mergeCell ref="AR28:AV28"/>
    <mergeCell ref="AH28:AL28"/>
    <mergeCell ref="AC28:AG28"/>
    <mergeCell ref="AW28:BA28"/>
    <mergeCell ref="BB28:BF28"/>
    <mergeCell ref="C58:H58"/>
    <mergeCell ref="C76:H76"/>
    <mergeCell ref="I76:I77"/>
    <mergeCell ref="D27:R27"/>
    <mergeCell ref="D28:H28"/>
    <mergeCell ref="I28:M28"/>
    <mergeCell ref="N28:R28"/>
  </mergeCells>
  <dataValidations count="4">
    <dataValidation type="list" allowBlank="1" showInputMessage="1" showErrorMessage="1" sqref="B110" xr:uid="{31B4E672-C0B3-42F8-9EE9-D76C54133E86}">
      <formula1>$B$10:$B$21</formula1>
    </dataValidation>
    <dataValidation type="list" allowBlank="1" showInputMessage="1" showErrorMessage="1" sqref="C93" xr:uid="{81E54B58-14EF-4935-8573-0D66B2848F7E}">
      <formula1>$B$60:$B$65</formula1>
    </dataValidation>
    <dataValidation type="list" allowBlank="1" showInputMessage="1" showErrorMessage="1" sqref="G93" xr:uid="{22900767-88AE-4B21-97EA-545DEC8D032D}">
      <formula1>$B$78:$B$84</formula1>
    </dataValidation>
    <dataValidation type="list" allowBlank="1" showInputMessage="1" showErrorMessage="1" sqref="C110" xr:uid="{55620478-67B4-4B76-88EA-6B8E1B752722}">
      <formula1>$O$111:$O$112</formula1>
    </dataValidation>
  </dataValidations>
  <pageMargins left="0.7" right="0.7" top="0.75" bottom="0.75" header="0.3" footer="0.3"/>
  <pageSetup orientation="portrait" r:id="rId1"/>
  <ignoredErrors>
    <ignoredError sqref="C63:G63" 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M35"/>
  <sheetViews>
    <sheetView workbookViewId="0">
      <pane ySplit="6" topLeftCell="A25" activePane="bottomLeft" state="frozen"/>
      <selection activeCell="B1" sqref="B1"/>
      <selection pane="bottomLeft" activeCell="A29" sqref="A29"/>
    </sheetView>
  </sheetViews>
  <sheetFormatPr defaultColWidth="8.85546875" defaultRowHeight="15" x14ac:dyDescent="0.25"/>
  <cols>
    <col min="1" max="1" width="33.7109375" customWidth="1"/>
    <col min="2" max="2" width="30.42578125" customWidth="1"/>
    <col min="3" max="4" width="23.42578125" customWidth="1"/>
    <col min="5" max="5" width="8.42578125" customWidth="1"/>
    <col min="6" max="6" width="9.42578125" style="10" customWidth="1"/>
  </cols>
  <sheetData>
    <row r="4" spans="1:13" ht="15.75" thickBot="1" x14ac:dyDescent="0.3"/>
    <row r="5" spans="1:13" ht="15.75" thickBot="1" x14ac:dyDescent="0.3">
      <c r="K5" s="21"/>
    </row>
    <row r="6" spans="1:13" x14ac:dyDescent="0.25">
      <c r="A6" s="18" t="s">
        <v>32</v>
      </c>
      <c r="B6" s="18" t="s">
        <v>33</v>
      </c>
      <c r="C6" s="18" t="s">
        <v>20</v>
      </c>
      <c r="D6" s="18" t="s">
        <v>21</v>
      </c>
      <c r="E6" s="18" t="s">
        <v>5</v>
      </c>
      <c r="F6" s="18" t="s">
        <v>8</v>
      </c>
      <c r="G6" s="19" t="s">
        <v>9</v>
      </c>
      <c r="H6" s="18" t="s">
        <v>11</v>
      </c>
      <c r="I6" s="18" t="s">
        <v>10</v>
      </c>
      <c r="J6" s="18" t="s">
        <v>31</v>
      </c>
      <c r="K6" s="20" t="s">
        <v>30</v>
      </c>
      <c r="L6" s="18" t="s">
        <v>12</v>
      </c>
    </row>
    <row r="7" spans="1:13" x14ac:dyDescent="0.25">
      <c r="A7" s="15" t="s">
        <v>226</v>
      </c>
      <c r="B7" s="15" t="s">
        <v>226</v>
      </c>
      <c r="C7" s="13" t="s">
        <v>24</v>
      </c>
      <c r="D7" s="13"/>
      <c r="E7" s="13" t="s">
        <v>22</v>
      </c>
      <c r="F7" s="13"/>
      <c r="G7" s="13" t="s">
        <v>22</v>
      </c>
      <c r="H7" s="13"/>
      <c r="I7" s="13"/>
      <c r="J7" s="13"/>
      <c r="K7" s="13"/>
      <c r="L7" s="13"/>
    </row>
    <row r="8" spans="1:13" x14ac:dyDescent="0.25">
      <c r="A8" s="15" t="s">
        <v>223</v>
      </c>
      <c r="B8" s="15" t="s">
        <v>223</v>
      </c>
      <c r="C8" s="13" t="s">
        <v>24</v>
      </c>
      <c r="D8" s="13"/>
      <c r="E8" s="13" t="s">
        <v>22</v>
      </c>
      <c r="F8" s="13"/>
      <c r="G8" s="13"/>
      <c r="H8" s="13" t="s">
        <v>22</v>
      </c>
      <c r="I8" s="13"/>
      <c r="J8" s="13"/>
      <c r="K8" s="13"/>
      <c r="L8" s="13"/>
      <c r="M8" s="14"/>
    </row>
    <row r="9" spans="1:13" x14ac:dyDescent="0.25">
      <c r="A9" s="15" t="s">
        <v>224</v>
      </c>
      <c r="B9" s="15" t="s">
        <v>224</v>
      </c>
      <c r="C9" s="13" t="s">
        <v>24</v>
      </c>
      <c r="D9" s="13"/>
      <c r="E9" s="13" t="s">
        <v>22</v>
      </c>
      <c r="F9" s="13"/>
      <c r="G9" s="13"/>
      <c r="H9" s="13"/>
      <c r="I9" s="13"/>
      <c r="J9" s="13"/>
      <c r="K9" s="13"/>
      <c r="L9" s="13"/>
      <c r="M9" s="14"/>
    </row>
    <row r="10" spans="1:13" x14ac:dyDescent="0.25">
      <c r="A10" s="15" t="s">
        <v>225</v>
      </c>
      <c r="B10" s="15" t="s">
        <v>225</v>
      </c>
      <c r="C10" s="13" t="s">
        <v>24</v>
      </c>
      <c r="D10" s="13"/>
      <c r="E10" s="13" t="s">
        <v>22</v>
      </c>
      <c r="F10" s="13"/>
      <c r="G10" s="13"/>
      <c r="H10" s="13"/>
      <c r="I10" s="13"/>
      <c r="J10" s="13"/>
      <c r="K10" s="13"/>
      <c r="L10" s="13"/>
      <c r="M10" s="14"/>
    </row>
    <row r="11" spans="1:13" x14ac:dyDescent="0.25">
      <c r="A11" s="15" t="s">
        <v>218</v>
      </c>
      <c r="B11" s="15" t="s">
        <v>218</v>
      </c>
      <c r="C11" s="13" t="s">
        <v>6</v>
      </c>
      <c r="D11" s="13"/>
      <c r="E11" s="13" t="s">
        <v>22</v>
      </c>
      <c r="F11" s="13"/>
      <c r="G11" s="13"/>
      <c r="H11" s="13"/>
      <c r="I11" s="13"/>
      <c r="J11" s="13"/>
      <c r="K11" s="13"/>
      <c r="L11" s="13"/>
      <c r="M11" s="14"/>
    </row>
    <row r="12" spans="1:13" x14ac:dyDescent="0.25">
      <c r="A12" s="15" t="s">
        <v>217</v>
      </c>
      <c r="B12" s="15" t="s">
        <v>217</v>
      </c>
      <c r="C12" s="22" t="s">
        <v>6</v>
      </c>
      <c r="D12" s="13"/>
      <c r="E12" s="13" t="s">
        <v>22</v>
      </c>
      <c r="F12" s="13"/>
      <c r="G12" s="13"/>
      <c r="H12" s="13"/>
      <c r="I12" s="13"/>
      <c r="J12" s="13"/>
      <c r="K12" s="13"/>
      <c r="L12" s="13"/>
      <c r="M12" s="14"/>
    </row>
    <row r="13" spans="1:13" x14ac:dyDescent="0.25">
      <c r="A13" s="15" t="s">
        <v>219</v>
      </c>
      <c r="B13" s="15" t="s">
        <v>219</v>
      </c>
      <c r="C13" s="13" t="s">
        <v>6</v>
      </c>
      <c r="D13" s="13"/>
      <c r="E13" s="13" t="s">
        <v>22</v>
      </c>
      <c r="F13" s="13"/>
      <c r="G13" s="13"/>
      <c r="H13" s="13"/>
      <c r="I13" s="13"/>
      <c r="J13" s="13"/>
      <c r="K13" s="13"/>
      <c r="L13" s="13"/>
      <c r="M13" s="14"/>
    </row>
    <row r="14" spans="1:13" x14ac:dyDescent="0.25">
      <c r="A14" s="15" t="s">
        <v>220</v>
      </c>
      <c r="B14" s="15" t="s">
        <v>220</v>
      </c>
      <c r="C14" s="13" t="s">
        <v>7</v>
      </c>
      <c r="D14" s="13"/>
      <c r="E14" s="13" t="s">
        <v>22</v>
      </c>
      <c r="F14" s="13"/>
      <c r="G14" s="13"/>
      <c r="H14" s="13"/>
      <c r="I14" s="13"/>
      <c r="J14" s="13"/>
      <c r="K14" s="13"/>
      <c r="L14" s="13"/>
      <c r="M14" s="14"/>
    </row>
    <row r="15" spans="1:13" x14ac:dyDescent="0.25">
      <c r="A15" s="15" t="s">
        <v>221</v>
      </c>
      <c r="B15" s="15" t="s">
        <v>221</v>
      </c>
      <c r="C15" s="13" t="s">
        <v>7</v>
      </c>
      <c r="D15" s="13"/>
      <c r="E15" s="13" t="s">
        <v>22</v>
      </c>
      <c r="F15" s="13"/>
      <c r="G15" s="13"/>
      <c r="H15" s="13"/>
      <c r="I15" s="13"/>
      <c r="J15" s="13"/>
      <c r="K15" s="13"/>
      <c r="L15" s="13"/>
      <c r="M15" s="14"/>
    </row>
    <row r="16" spans="1:13" x14ac:dyDescent="0.25">
      <c r="A16" s="15" t="s">
        <v>216</v>
      </c>
      <c r="B16" s="15" t="s">
        <v>216</v>
      </c>
      <c r="C16" s="13" t="s">
        <v>24</v>
      </c>
      <c r="D16" s="13"/>
      <c r="E16" s="13" t="s">
        <v>22</v>
      </c>
      <c r="F16" s="13"/>
      <c r="G16" s="13"/>
      <c r="H16" s="13" t="s">
        <v>22</v>
      </c>
      <c r="I16" s="13"/>
      <c r="J16" s="13"/>
      <c r="K16" s="13"/>
      <c r="L16" s="13"/>
      <c r="M16" s="14"/>
    </row>
    <row r="17" spans="1:13" x14ac:dyDescent="0.25">
      <c r="A17" s="15" t="s">
        <v>222</v>
      </c>
      <c r="B17" s="15" t="s">
        <v>222</v>
      </c>
      <c r="C17" s="13" t="s">
        <v>27</v>
      </c>
      <c r="D17" s="13"/>
      <c r="E17" s="13" t="s">
        <v>22</v>
      </c>
      <c r="F17" s="13"/>
      <c r="G17" s="13"/>
      <c r="H17" s="13"/>
      <c r="I17" s="13"/>
      <c r="J17" s="13"/>
      <c r="K17" s="13"/>
      <c r="L17" s="13"/>
      <c r="M17" s="14"/>
    </row>
    <row r="18" spans="1:13" x14ac:dyDescent="0.25">
      <c r="A18" s="15"/>
      <c r="B18" s="15"/>
      <c r="C18" s="13"/>
      <c r="D18" s="13"/>
      <c r="E18" s="13"/>
      <c r="F18" s="13"/>
      <c r="G18" s="13"/>
      <c r="H18" s="13"/>
      <c r="I18" s="13"/>
      <c r="J18" s="13"/>
      <c r="K18" s="13"/>
      <c r="L18" s="13"/>
      <c r="M18" s="14"/>
    </row>
    <row r="19" spans="1:13" x14ac:dyDescent="0.25">
      <c r="F19"/>
    </row>
    <row r="20" spans="1:13" x14ac:dyDescent="0.25">
      <c r="F20"/>
    </row>
    <row r="21" spans="1:13" x14ac:dyDescent="0.25">
      <c r="F21"/>
    </row>
    <row r="22" spans="1:13" x14ac:dyDescent="0.25">
      <c r="A22" s="14"/>
      <c r="F22"/>
    </row>
    <row r="24" spans="1:13" x14ac:dyDescent="0.25">
      <c r="A24" t="s">
        <v>25</v>
      </c>
    </row>
    <row r="25" spans="1:13" x14ac:dyDescent="0.25">
      <c r="A25" s="9" t="s">
        <v>23</v>
      </c>
    </row>
    <row r="26" spans="1:13" x14ac:dyDescent="0.25">
      <c r="A26" s="11" t="s">
        <v>24</v>
      </c>
    </row>
    <row r="27" spans="1:13" x14ac:dyDescent="0.25">
      <c r="A27" s="8" t="s">
        <v>26</v>
      </c>
    </row>
    <row r="28" spans="1:13" x14ac:dyDescent="0.25">
      <c r="A28" s="8" t="s">
        <v>7</v>
      </c>
    </row>
    <row r="29" spans="1:13" x14ac:dyDescent="0.25">
      <c r="A29" s="8" t="s">
        <v>27</v>
      </c>
    </row>
    <row r="30" spans="1:13" x14ac:dyDescent="0.25">
      <c r="A30" s="8" t="s">
        <v>6</v>
      </c>
    </row>
    <row r="31" spans="1:13" x14ac:dyDescent="0.25">
      <c r="A31" s="8" t="s">
        <v>4</v>
      </c>
    </row>
    <row r="33" spans="1:1" x14ac:dyDescent="0.25">
      <c r="A33" s="11" t="s">
        <v>28</v>
      </c>
    </row>
    <row r="34" spans="1:1" x14ac:dyDescent="0.25">
      <c r="A34" s="7" t="s">
        <v>23</v>
      </c>
    </row>
    <row r="35" spans="1:1" x14ac:dyDescent="0.25">
      <c r="A35" s="11" t="s">
        <v>22</v>
      </c>
    </row>
  </sheetData>
  <autoFilter ref="A6:L18" xr:uid="{D9B491C5-2588-446D-BA33-5517943B5872}">
    <sortState xmlns:xlrd2="http://schemas.microsoft.com/office/spreadsheetml/2017/richdata2" ref="A7:L18">
      <sortCondition ref="A6:A18"/>
    </sortState>
  </autoFilter>
  <dataValidations count="2">
    <dataValidation type="list" allowBlank="1" showInputMessage="1" showErrorMessage="1" sqref="B19:B22" xr:uid="{00000000-0002-0000-0000-000000000000}">
      <formula1>$A$25:$A$31</formula1>
    </dataValidation>
    <dataValidation type="list" allowBlank="1" showInputMessage="1" showErrorMessage="1" sqref="E7:L18 C7:C18" xr:uid="{C054E6B6-C298-4797-927F-844C68AC86FE}">
      <formula1>#REF!</formula1>
    </dataValidation>
  </dataValidations>
  <pageMargins left="0.7" right="0.7" top="0.75" bottom="0.75" header="0.3" footer="0.3"/>
  <pageSetup scale="58" orientation="landscape" horizontalDpi="4294967292" verticalDpi="4294967292"/>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J21"/>
  <sheetViews>
    <sheetView topLeftCell="D1" zoomScaleNormal="100" workbookViewId="0">
      <pane ySplit="6" topLeftCell="A7" activePane="bottomLeft" state="frozen"/>
      <selection pane="bottomLeft" activeCell="D20" sqref="D20"/>
    </sheetView>
  </sheetViews>
  <sheetFormatPr defaultColWidth="8.85546875" defaultRowHeight="15" x14ac:dyDescent="0.25"/>
  <cols>
    <col min="1" max="1" width="4" customWidth="1"/>
    <col min="2" max="2" width="29.140625" customWidth="1"/>
    <col min="3" max="3" width="18.28515625" bestFit="1" customWidth="1"/>
    <col min="4" max="4" width="30.140625" customWidth="1"/>
    <col min="5" max="5" width="35.7109375" bestFit="1" customWidth="1"/>
    <col min="6" max="6" width="38.28515625" bestFit="1" customWidth="1"/>
    <col min="7" max="7" width="19" bestFit="1" customWidth="1"/>
    <col min="8" max="8" width="18.42578125" bestFit="1" customWidth="1"/>
    <col min="9" max="9" width="15.85546875" bestFit="1" customWidth="1"/>
    <col min="10" max="10" width="7.85546875" bestFit="1" customWidth="1"/>
  </cols>
  <sheetData>
    <row r="5" spans="1:10" ht="15.75" thickBot="1" x14ac:dyDescent="0.3"/>
    <row r="6" spans="1:10" s="16" customFormat="1" ht="30.75" thickBot="1" x14ac:dyDescent="0.3">
      <c r="A6" s="153"/>
      <c r="B6" s="151" t="s">
        <v>44</v>
      </c>
      <c r="C6" s="26" t="s">
        <v>1</v>
      </c>
      <c r="D6" s="26" t="s">
        <v>32</v>
      </c>
      <c r="E6" s="24" t="s">
        <v>33</v>
      </c>
      <c r="F6" s="25" t="s">
        <v>45</v>
      </c>
      <c r="G6" s="25" t="s">
        <v>0</v>
      </c>
      <c r="H6" s="26" t="s">
        <v>2</v>
      </c>
      <c r="I6" s="25" t="s">
        <v>3</v>
      </c>
      <c r="J6" s="27" t="s">
        <v>29</v>
      </c>
    </row>
    <row r="7" spans="1:10" x14ac:dyDescent="0.25">
      <c r="A7" s="97"/>
      <c r="B7" s="203" t="s">
        <v>229</v>
      </c>
      <c r="C7" s="13">
        <v>8644005500</v>
      </c>
      <c r="D7" s="15" t="s">
        <v>216</v>
      </c>
      <c r="E7" s="15" t="s">
        <v>216</v>
      </c>
      <c r="F7" s="15" t="s">
        <v>216</v>
      </c>
      <c r="G7" s="13" t="s">
        <v>230</v>
      </c>
      <c r="H7" s="13" t="s">
        <v>231</v>
      </c>
      <c r="I7" s="13" t="s">
        <v>5</v>
      </c>
      <c r="J7" s="13" t="s">
        <v>232</v>
      </c>
    </row>
    <row r="8" spans="1:10" x14ac:dyDescent="0.25">
      <c r="A8" s="97"/>
      <c r="B8" s="203" t="s">
        <v>233</v>
      </c>
      <c r="C8" s="13">
        <v>8408055000</v>
      </c>
      <c r="D8" s="15" t="s">
        <v>217</v>
      </c>
      <c r="E8" s="15" t="s">
        <v>217</v>
      </c>
      <c r="F8" s="15" t="s">
        <v>217</v>
      </c>
      <c r="G8" s="13" t="s">
        <v>230</v>
      </c>
      <c r="H8" s="13" t="s">
        <v>231</v>
      </c>
      <c r="I8" s="13" t="s">
        <v>5</v>
      </c>
      <c r="J8" s="13" t="s">
        <v>232</v>
      </c>
    </row>
    <row r="9" spans="1:10" x14ac:dyDescent="0.25">
      <c r="A9" s="97"/>
      <c r="B9" s="203" t="s">
        <v>234</v>
      </c>
      <c r="C9" s="13">
        <v>8409184000</v>
      </c>
      <c r="D9" s="15" t="s">
        <v>218</v>
      </c>
      <c r="E9" s="15" t="s">
        <v>218</v>
      </c>
      <c r="F9" s="15" t="s">
        <v>218</v>
      </c>
      <c r="G9" s="13" t="s">
        <v>230</v>
      </c>
      <c r="H9" s="13" t="s">
        <v>231</v>
      </c>
      <c r="I9" s="13" t="s">
        <v>5</v>
      </c>
      <c r="J9" s="13" t="s">
        <v>232</v>
      </c>
    </row>
    <row r="10" spans="1:10" x14ac:dyDescent="0.25">
      <c r="A10" s="97"/>
      <c r="B10" s="203" t="s">
        <v>235</v>
      </c>
      <c r="C10" s="13">
        <v>8409153000</v>
      </c>
      <c r="D10" s="15" t="s">
        <v>219</v>
      </c>
      <c r="E10" s="15" t="s">
        <v>219</v>
      </c>
      <c r="F10" s="15" t="s">
        <v>219</v>
      </c>
      <c r="G10" s="13" t="s">
        <v>230</v>
      </c>
      <c r="H10" s="13" t="s">
        <v>231</v>
      </c>
      <c r="I10" s="13" t="s">
        <v>5</v>
      </c>
      <c r="J10" s="13" t="s">
        <v>232</v>
      </c>
    </row>
    <row r="11" spans="1:10" x14ac:dyDescent="0.25">
      <c r="A11" s="97"/>
      <c r="B11" s="203" t="s">
        <v>236</v>
      </c>
      <c r="C11" s="13">
        <v>8411282000</v>
      </c>
      <c r="D11" s="15" t="s">
        <v>220</v>
      </c>
      <c r="E11" s="15" t="s">
        <v>220</v>
      </c>
      <c r="F11" s="15" t="s">
        <v>220</v>
      </c>
      <c r="G11" s="13" t="s">
        <v>230</v>
      </c>
      <c r="H11" s="13" t="s">
        <v>231</v>
      </c>
      <c r="I11" s="13" t="s">
        <v>5</v>
      </c>
      <c r="J11" s="13" t="s">
        <v>232</v>
      </c>
    </row>
    <row r="12" spans="1:10" x14ac:dyDescent="0.25">
      <c r="A12" s="97"/>
      <c r="B12" s="203" t="s">
        <v>237</v>
      </c>
      <c r="C12" s="13">
        <v>8411280000</v>
      </c>
      <c r="D12" s="15" t="s">
        <v>221</v>
      </c>
      <c r="E12" s="15" t="s">
        <v>221</v>
      </c>
      <c r="F12" s="15" t="s">
        <v>221</v>
      </c>
      <c r="G12" s="13" t="s">
        <v>230</v>
      </c>
      <c r="H12" s="13" t="s">
        <v>231</v>
      </c>
      <c r="I12" s="13" t="s">
        <v>5</v>
      </c>
      <c r="J12" s="13" t="s">
        <v>232</v>
      </c>
    </row>
    <row r="13" spans="1:10" x14ac:dyDescent="0.25">
      <c r="A13" s="97"/>
      <c r="B13" s="203" t="s">
        <v>238</v>
      </c>
      <c r="C13" s="13">
        <v>8408015000</v>
      </c>
      <c r="D13" s="15" t="s">
        <v>222</v>
      </c>
      <c r="E13" s="15" t="s">
        <v>222</v>
      </c>
      <c r="F13" s="15" t="s">
        <v>222</v>
      </c>
      <c r="G13" s="13" t="s">
        <v>230</v>
      </c>
      <c r="H13" s="13" t="s">
        <v>231</v>
      </c>
      <c r="I13" s="13" t="s">
        <v>5</v>
      </c>
      <c r="J13" s="13" t="s">
        <v>232</v>
      </c>
    </row>
    <row r="14" spans="1:10" x14ac:dyDescent="0.25">
      <c r="A14" s="97"/>
      <c r="B14" s="204" t="s">
        <v>239</v>
      </c>
      <c r="C14" s="13">
        <v>8408015500</v>
      </c>
      <c r="D14" s="15" t="s">
        <v>223</v>
      </c>
      <c r="E14" s="15" t="s">
        <v>223</v>
      </c>
      <c r="F14" s="15" t="s">
        <v>223</v>
      </c>
      <c r="G14" s="13" t="s">
        <v>230</v>
      </c>
      <c r="H14" s="13" t="s">
        <v>231</v>
      </c>
      <c r="I14" s="13" t="s">
        <v>5</v>
      </c>
      <c r="J14" s="13" t="s">
        <v>232</v>
      </c>
    </row>
    <row r="15" spans="1:10" x14ac:dyDescent="0.25">
      <c r="A15" s="97"/>
      <c r="B15" s="203" t="s">
        <v>240</v>
      </c>
      <c r="C15" s="13">
        <v>8409201001</v>
      </c>
      <c r="D15" s="15" t="s">
        <v>224</v>
      </c>
      <c r="E15" s="15" t="s">
        <v>224</v>
      </c>
      <c r="F15" s="15" t="s">
        <v>224</v>
      </c>
      <c r="G15" s="13" t="s">
        <v>230</v>
      </c>
      <c r="H15" s="13" t="s">
        <v>231</v>
      </c>
      <c r="I15" s="13" t="s">
        <v>5</v>
      </c>
      <c r="J15" s="13" t="s">
        <v>232</v>
      </c>
    </row>
    <row r="16" spans="1:10" x14ac:dyDescent="0.25">
      <c r="A16" s="97"/>
      <c r="B16" s="203" t="s">
        <v>241</v>
      </c>
      <c r="C16" s="13">
        <v>8409201500</v>
      </c>
      <c r="D16" s="15" t="s">
        <v>225</v>
      </c>
      <c r="E16" s="15" t="s">
        <v>225</v>
      </c>
      <c r="F16" s="15" t="s">
        <v>225</v>
      </c>
      <c r="G16" s="13" t="s">
        <v>230</v>
      </c>
      <c r="H16" s="13" t="s">
        <v>231</v>
      </c>
      <c r="I16" s="13" t="s">
        <v>5</v>
      </c>
      <c r="J16" s="13" t="s">
        <v>232</v>
      </c>
    </row>
    <row r="17" spans="1:10" x14ac:dyDescent="0.25">
      <c r="A17" s="97"/>
      <c r="B17" s="203" t="s">
        <v>242</v>
      </c>
      <c r="C17" s="13">
        <v>8644026200</v>
      </c>
      <c r="D17" s="15" t="s">
        <v>226</v>
      </c>
      <c r="E17" s="15" t="s">
        <v>226</v>
      </c>
      <c r="F17" s="15" t="s">
        <v>226</v>
      </c>
      <c r="G17" s="13" t="s">
        <v>230</v>
      </c>
      <c r="H17" s="13" t="s">
        <v>231</v>
      </c>
      <c r="I17" s="13" t="s">
        <v>5</v>
      </c>
      <c r="J17" s="13" t="s">
        <v>232</v>
      </c>
    </row>
    <row r="18" spans="1:10" x14ac:dyDescent="0.25">
      <c r="A18" s="97"/>
      <c r="B18" s="152"/>
      <c r="C18" s="205">
        <v>328391</v>
      </c>
      <c r="D18" s="15" t="s">
        <v>216</v>
      </c>
      <c r="E18" s="15" t="s">
        <v>216</v>
      </c>
      <c r="F18" s="15" t="s">
        <v>216</v>
      </c>
      <c r="G18" s="13" t="s">
        <v>230</v>
      </c>
      <c r="H18" s="13" t="s">
        <v>243</v>
      </c>
      <c r="I18" s="13" t="s">
        <v>244</v>
      </c>
      <c r="J18" s="13" t="s">
        <v>245</v>
      </c>
    </row>
    <row r="19" spans="1:10" x14ac:dyDescent="0.25">
      <c r="A19" s="97"/>
      <c r="B19" s="152"/>
      <c r="C19" s="205">
        <v>328392</v>
      </c>
      <c r="D19" s="15" t="s">
        <v>223</v>
      </c>
      <c r="E19" s="15" t="s">
        <v>223</v>
      </c>
      <c r="F19" s="15" t="s">
        <v>223</v>
      </c>
      <c r="G19" s="13" t="s">
        <v>230</v>
      </c>
      <c r="H19" s="13" t="s">
        <v>243</v>
      </c>
      <c r="I19" s="13" t="s">
        <v>244</v>
      </c>
      <c r="J19" s="13" t="s">
        <v>245</v>
      </c>
    </row>
    <row r="20" spans="1:10" x14ac:dyDescent="0.25">
      <c r="A20" s="97"/>
      <c r="B20" s="152"/>
      <c r="C20" s="205" t="s">
        <v>246</v>
      </c>
      <c r="D20" s="15" t="s">
        <v>226</v>
      </c>
      <c r="E20" s="15" t="s">
        <v>226</v>
      </c>
      <c r="F20" s="15" t="s">
        <v>226</v>
      </c>
      <c r="G20" s="13" t="s">
        <v>230</v>
      </c>
      <c r="H20" s="13" t="s">
        <v>243</v>
      </c>
      <c r="I20" s="13" t="s">
        <v>9</v>
      </c>
      <c r="J20" s="13" t="s">
        <v>245</v>
      </c>
    </row>
    <row r="21" spans="1:10" x14ac:dyDescent="0.25">
      <c r="A21" s="97"/>
      <c r="B21" s="152"/>
      <c r="C21" s="34"/>
      <c r="D21" s="28"/>
      <c r="E21" s="23"/>
      <c r="F21" s="15"/>
      <c r="G21" s="13"/>
      <c r="H21" s="13"/>
      <c r="I21" s="13"/>
      <c r="J21" s="30"/>
    </row>
  </sheetData>
  <autoFilter ref="B6:J6" xr:uid="{7C93447C-2565-4D04-A652-AA091FB91F9C}">
    <sortState xmlns:xlrd2="http://schemas.microsoft.com/office/spreadsheetml/2017/richdata2" ref="B7:J21">
      <sortCondition ref="D6"/>
    </sortState>
  </autoFilter>
  <dataValidations count="2">
    <dataValidation type="list" allowBlank="1" showInputMessage="1" showErrorMessage="1" sqref="I7:I21" xr:uid="{E9F37588-0EB4-4A38-8C1D-7A42882A1778}">
      <formula1>"Electricity, Nat Gas, Fuel Oil, Kerosene, Propane, Wood"</formula1>
    </dataValidation>
    <dataValidation type="list" allowBlank="1" showInputMessage="1" showErrorMessage="1" sqref="J7:J21" xr:uid="{2FED1A26-6468-4782-BC9A-A9B6969D3C07}">
      <formula1>"kWh, Therms, Gallons, Cords, Lbs"</formula1>
    </dataValidation>
  </dataValidations>
  <pageMargins left="0.25" right="0.25" top="0.75" bottom="0.75" header="0.3" footer="0.3"/>
  <pageSetup fitToHeight="0" orientation="landscape"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19"/>
  <sheetViews>
    <sheetView topLeftCell="D1" zoomScale="120" zoomScaleNormal="120" zoomScalePageLayoutView="125" workbookViewId="0">
      <pane ySplit="3" topLeftCell="A4" activePane="bottomLeft" state="frozen"/>
      <selection pane="bottomLeft" activeCell="H19" sqref="H18:H19"/>
    </sheetView>
  </sheetViews>
  <sheetFormatPr defaultColWidth="8.85546875" defaultRowHeight="15" x14ac:dyDescent="0.25"/>
  <cols>
    <col min="2" max="2" width="18.42578125" customWidth="1"/>
    <col min="3" max="3" width="21.85546875" customWidth="1"/>
    <col min="4" max="4" width="1.7109375" customWidth="1"/>
    <col min="5" max="5" width="5.7109375" customWidth="1"/>
    <col min="6" max="6" width="8.85546875" customWidth="1"/>
    <col min="7" max="7" width="13.5703125" customWidth="1"/>
    <col min="8" max="8" width="15.28515625" customWidth="1"/>
    <col min="9" max="9" width="11.7109375" customWidth="1"/>
    <col min="10" max="10" width="13.5703125" customWidth="1"/>
    <col min="11" max="11" width="10.42578125" customWidth="1"/>
    <col min="12" max="12" width="15.7109375" bestFit="1" customWidth="1"/>
    <col min="13" max="13" width="11.28515625" bestFit="1" customWidth="1"/>
    <col min="14" max="14" width="16.28515625" customWidth="1"/>
  </cols>
  <sheetData>
    <row r="1" spans="2:14" x14ac:dyDescent="0.25">
      <c r="J1" s="1"/>
      <c r="K1" s="1"/>
    </row>
    <row r="2" spans="2:14" ht="15.75" thickBot="1" x14ac:dyDescent="0.3">
      <c r="J2" s="1"/>
      <c r="K2" s="1"/>
      <c r="L2" s="218"/>
      <c r="M2" s="218"/>
    </row>
    <row r="3" spans="2:14" ht="15.75" thickBot="1" x14ac:dyDescent="0.3">
      <c r="B3" s="226" t="s">
        <v>32</v>
      </c>
      <c r="C3" s="227" t="s">
        <v>33</v>
      </c>
      <c r="D3" s="227"/>
      <c r="E3" s="227" t="s">
        <v>13</v>
      </c>
      <c r="F3" s="227" t="s">
        <v>14</v>
      </c>
      <c r="G3" s="227" t="s">
        <v>15</v>
      </c>
      <c r="H3" s="227" t="s">
        <v>16</v>
      </c>
      <c r="I3" s="227" t="s">
        <v>17</v>
      </c>
      <c r="J3" s="227" t="s">
        <v>18</v>
      </c>
      <c r="K3" s="227" t="s">
        <v>19</v>
      </c>
      <c r="L3" s="227" t="s">
        <v>139</v>
      </c>
      <c r="M3" s="227" t="s">
        <v>153</v>
      </c>
      <c r="N3" s="184" t="s">
        <v>228</v>
      </c>
    </row>
    <row r="4" spans="2:14" x14ac:dyDescent="0.25">
      <c r="B4" s="222" t="s">
        <v>226</v>
      </c>
      <c r="C4" s="223" t="s">
        <v>226</v>
      </c>
      <c r="D4" s="147"/>
      <c r="E4" s="147">
        <v>2015</v>
      </c>
      <c r="F4" s="148"/>
      <c r="G4" s="148"/>
      <c r="H4" s="149">
        <v>3573.2</v>
      </c>
      <c r="I4" s="150">
        <v>6843.94</v>
      </c>
      <c r="J4" s="149"/>
      <c r="K4" s="224"/>
      <c r="L4" s="147"/>
      <c r="M4" s="147"/>
      <c r="N4" s="225"/>
    </row>
    <row r="5" spans="2:14" x14ac:dyDescent="0.25">
      <c r="B5" s="23" t="s">
        <v>216</v>
      </c>
      <c r="C5" s="15" t="s">
        <v>216</v>
      </c>
      <c r="D5" s="13"/>
      <c r="E5" s="13">
        <v>2015</v>
      </c>
      <c r="F5" s="205"/>
      <c r="G5" s="205"/>
      <c r="H5" s="219">
        <v>463.32</v>
      </c>
      <c r="I5" s="220">
        <v>5504.23</v>
      </c>
      <c r="J5" s="219"/>
      <c r="K5" s="221"/>
      <c r="L5" s="13"/>
      <c r="M5" s="13"/>
      <c r="N5" s="30" t="s">
        <v>227</v>
      </c>
    </row>
    <row r="6" spans="2:14" x14ac:dyDescent="0.25">
      <c r="B6" s="23" t="s">
        <v>226</v>
      </c>
      <c r="C6" s="15" t="s">
        <v>226</v>
      </c>
      <c r="D6" s="13"/>
      <c r="E6" s="13">
        <v>2015</v>
      </c>
      <c r="F6" s="205"/>
      <c r="G6" s="205"/>
      <c r="H6" s="219"/>
      <c r="I6" s="220"/>
      <c r="J6" s="219">
        <v>9895.6299999999992</v>
      </c>
      <c r="K6" s="221">
        <v>18663.02</v>
      </c>
      <c r="L6" s="13"/>
      <c r="M6" s="13"/>
      <c r="N6" s="30"/>
    </row>
    <row r="7" spans="2:14" x14ac:dyDescent="0.25">
      <c r="B7" s="23" t="s">
        <v>226</v>
      </c>
      <c r="C7" s="15" t="s">
        <v>226</v>
      </c>
      <c r="D7" s="13"/>
      <c r="E7" s="13">
        <v>2016</v>
      </c>
      <c r="F7" s="205"/>
      <c r="G7" s="205"/>
      <c r="H7" s="219">
        <v>3669.3</v>
      </c>
      <c r="I7" s="220">
        <v>5982.94</v>
      </c>
      <c r="J7" s="219"/>
      <c r="K7" s="221"/>
      <c r="L7" s="13"/>
      <c r="M7" s="13"/>
      <c r="N7" s="30"/>
    </row>
    <row r="8" spans="2:14" x14ac:dyDescent="0.25">
      <c r="B8" s="23" t="s">
        <v>216</v>
      </c>
      <c r="C8" s="15" t="s">
        <v>216</v>
      </c>
      <c r="D8" s="13"/>
      <c r="E8" s="13">
        <v>2016</v>
      </c>
      <c r="F8" s="205"/>
      <c r="G8" s="205"/>
      <c r="H8" s="219">
        <v>501.8</v>
      </c>
      <c r="I8" s="220">
        <v>5961.42</v>
      </c>
      <c r="J8" s="219"/>
      <c r="K8" s="221"/>
      <c r="L8" s="13"/>
      <c r="M8" s="13"/>
      <c r="N8" s="30" t="s">
        <v>227</v>
      </c>
    </row>
    <row r="9" spans="2:14" x14ac:dyDescent="0.25">
      <c r="B9" s="23" t="s">
        <v>226</v>
      </c>
      <c r="C9" s="15" t="s">
        <v>226</v>
      </c>
      <c r="D9" s="13"/>
      <c r="E9" s="13">
        <v>2016</v>
      </c>
      <c r="F9" s="205"/>
      <c r="G9" s="205"/>
      <c r="H9" s="219"/>
      <c r="I9" s="220"/>
      <c r="J9" s="219">
        <v>7590.3</v>
      </c>
      <c r="K9" s="221">
        <v>11590.3</v>
      </c>
      <c r="L9" s="13"/>
      <c r="M9" s="13"/>
      <c r="N9" s="30"/>
    </row>
    <row r="10" spans="2:14" x14ac:dyDescent="0.25">
      <c r="B10" s="23" t="s">
        <v>226</v>
      </c>
      <c r="C10" s="15" t="s">
        <v>226</v>
      </c>
      <c r="D10" s="13"/>
      <c r="E10" s="13">
        <v>2017</v>
      </c>
      <c r="F10" s="205"/>
      <c r="G10" s="205"/>
      <c r="H10" s="219">
        <v>3676.6</v>
      </c>
      <c r="I10" s="220">
        <v>6784.72</v>
      </c>
      <c r="J10" s="219"/>
      <c r="K10" s="221"/>
      <c r="L10" s="13"/>
      <c r="M10" s="13"/>
      <c r="N10" s="30"/>
    </row>
    <row r="11" spans="2:14" x14ac:dyDescent="0.25">
      <c r="B11" s="23" t="s">
        <v>216</v>
      </c>
      <c r="C11" s="15" t="s">
        <v>216</v>
      </c>
      <c r="D11" s="13"/>
      <c r="E11" s="13">
        <v>2017</v>
      </c>
      <c r="F11" s="205"/>
      <c r="G11" s="205"/>
      <c r="H11" s="219">
        <v>507.66</v>
      </c>
      <c r="I11" s="220">
        <v>6030.99</v>
      </c>
      <c r="J11" s="219"/>
      <c r="K11" s="221"/>
      <c r="L11" s="22"/>
      <c r="M11" s="22"/>
      <c r="N11" s="30" t="s">
        <v>227</v>
      </c>
    </row>
    <row r="12" spans="2:14" x14ac:dyDescent="0.25">
      <c r="B12" s="23" t="s">
        <v>226</v>
      </c>
      <c r="C12" s="15" t="s">
        <v>226</v>
      </c>
      <c r="D12" s="13"/>
      <c r="E12" s="13">
        <v>2017</v>
      </c>
      <c r="F12" s="205"/>
      <c r="G12" s="205"/>
      <c r="H12" s="219"/>
      <c r="I12" s="220"/>
      <c r="J12" s="219">
        <v>8368.1</v>
      </c>
      <c r="K12" s="221">
        <v>13910.72</v>
      </c>
      <c r="L12" s="22"/>
      <c r="M12" s="22"/>
      <c r="N12" s="30"/>
    </row>
    <row r="13" spans="2:14" x14ac:dyDescent="0.25">
      <c r="B13" s="23" t="s">
        <v>226</v>
      </c>
      <c r="C13" s="15" t="s">
        <v>226</v>
      </c>
      <c r="D13" s="13"/>
      <c r="E13" s="13">
        <v>2018</v>
      </c>
      <c r="F13" s="205"/>
      <c r="G13" s="205"/>
      <c r="H13" s="219">
        <v>3877.3</v>
      </c>
      <c r="I13" s="220">
        <v>8595.27</v>
      </c>
      <c r="J13" s="219"/>
      <c r="K13" s="221"/>
      <c r="L13" s="13"/>
      <c r="M13" s="13"/>
      <c r="N13" s="30"/>
    </row>
    <row r="14" spans="2:14" x14ac:dyDescent="0.25">
      <c r="B14" s="23" t="s">
        <v>216</v>
      </c>
      <c r="C14" s="15" t="s">
        <v>216</v>
      </c>
      <c r="D14" s="13"/>
      <c r="E14" s="13">
        <v>2018</v>
      </c>
      <c r="F14" s="205"/>
      <c r="G14" s="205"/>
      <c r="H14" s="219">
        <v>367.99</v>
      </c>
      <c r="I14" s="220">
        <v>4371.71</v>
      </c>
      <c r="J14" s="219"/>
      <c r="K14" s="221"/>
      <c r="L14" s="22"/>
      <c r="M14" s="22"/>
      <c r="N14" s="30" t="s">
        <v>227</v>
      </c>
    </row>
    <row r="15" spans="2:14" x14ac:dyDescent="0.25">
      <c r="B15" s="23" t="s">
        <v>226</v>
      </c>
      <c r="C15" s="15" t="s">
        <v>226</v>
      </c>
      <c r="D15" s="13"/>
      <c r="E15" s="13">
        <v>2018</v>
      </c>
      <c r="F15" s="205"/>
      <c r="G15" s="205"/>
      <c r="H15" s="219"/>
      <c r="I15" s="220"/>
      <c r="J15" s="219">
        <v>10200.1</v>
      </c>
      <c r="K15" s="221">
        <v>23329.45</v>
      </c>
      <c r="L15" s="22"/>
      <c r="M15" s="22"/>
      <c r="N15" s="30"/>
    </row>
    <row r="16" spans="2:14" x14ac:dyDescent="0.25">
      <c r="F16" s="12"/>
      <c r="G16" s="12"/>
      <c r="H16" s="3"/>
      <c r="I16" s="4"/>
      <c r="J16" s="3"/>
      <c r="K16" s="3"/>
    </row>
    <row r="17" spans="6:11" x14ac:dyDescent="0.25">
      <c r="F17" s="12"/>
      <c r="G17" s="12"/>
      <c r="H17" s="3"/>
      <c r="I17" s="4"/>
      <c r="J17" s="3"/>
      <c r="K17" s="3"/>
    </row>
    <row r="18" spans="6:11" x14ac:dyDescent="0.25">
      <c r="F18" s="12"/>
      <c r="G18" s="12"/>
      <c r="H18" s="3"/>
      <c r="I18" s="4"/>
      <c r="J18" s="3"/>
      <c r="K18" s="3"/>
    </row>
    <row r="19" spans="6:11" x14ac:dyDescent="0.25">
      <c r="F19" s="5"/>
      <c r="G19" s="5"/>
      <c r="H19" s="6"/>
      <c r="I19" s="2"/>
      <c r="J19" s="6"/>
      <c r="K19" s="6"/>
    </row>
  </sheetData>
  <pageMargins left="0.7" right="0.7" top="0.75" bottom="0.75" header="0.3" footer="0.3"/>
  <pageSetup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4"/>
  <sheetViews>
    <sheetView zoomScale="120" zoomScaleNormal="120" workbookViewId="0">
      <pane ySplit="2" topLeftCell="A3" activePane="bottomLeft" state="frozen"/>
      <selection pane="bottomLeft" activeCell="C19" sqref="C19"/>
    </sheetView>
  </sheetViews>
  <sheetFormatPr defaultRowHeight="15" x14ac:dyDescent="0.25"/>
  <cols>
    <col min="1" max="1" width="5.140625" customWidth="1"/>
    <col min="2" max="2" width="20.5703125" bestFit="1" customWidth="1"/>
    <col min="3" max="3" width="34.5703125" bestFit="1" customWidth="1"/>
    <col min="4" max="4" width="21" customWidth="1"/>
    <col min="5" max="6" width="17" bestFit="1" customWidth="1"/>
    <col min="7" max="7" width="11" bestFit="1" customWidth="1"/>
    <col min="11" max="11" width="11" bestFit="1" customWidth="1"/>
    <col min="12" max="13" width="11.5703125" customWidth="1"/>
  </cols>
  <sheetData>
    <row r="1" spans="2:9" ht="15.75" thickBot="1" x14ac:dyDescent="0.3"/>
    <row r="2" spans="2:9" ht="15.75" thickBot="1" x14ac:dyDescent="0.3">
      <c r="B2" s="207" t="s">
        <v>55</v>
      </c>
      <c r="C2" s="306" t="s">
        <v>33</v>
      </c>
      <c r="D2" s="282" t="s">
        <v>96</v>
      </c>
      <c r="E2" s="307" t="s">
        <v>13</v>
      </c>
      <c r="F2" s="207" t="s">
        <v>97</v>
      </c>
      <c r="G2" s="207" t="s">
        <v>46</v>
      </c>
      <c r="H2" s="208" t="s">
        <v>99</v>
      </c>
      <c r="I2" s="207" t="s">
        <v>98</v>
      </c>
    </row>
    <row r="3" spans="2:9" x14ac:dyDescent="0.25">
      <c r="B3" s="15" t="s">
        <v>216</v>
      </c>
      <c r="C3" s="299" t="s">
        <v>216</v>
      </c>
      <c r="D3" s="308" t="s">
        <v>141</v>
      </c>
      <c r="E3" s="301">
        <v>2015</v>
      </c>
      <c r="F3" s="33">
        <v>1976.5</v>
      </c>
      <c r="G3" s="209">
        <v>1821.41</v>
      </c>
      <c r="H3" s="210"/>
      <c r="I3" s="211"/>
    </row>
    <row r="4" spans="2:9" x14ac:dyDescent="0.25">
      <c r="B4" s="15" t="s">
        <v>223</v>
      </c>
      <c r="C4" s="28" t="s">
        <v>223</v>
      </c>
      <c r="D4" s="304" t="s">
        <v>141</v>
      </c>
      <c r="E4" s="302">
        <v>2015</v>
      </c>
      <c r="F4" s="205">
        <v>231.1</v>
      </c>
      <c r="G4" s="206">
        <v>221.04</v>
      </c>
      <c r="H4" s="17"/>
      <c r="I4" s="212"/>
    </row>
    <row r="5" spans="2:9" x14ac:dyDescent="0.25">
      <c r="B5" s="15" t="s">
        <v>226</v>
      </c>
      <c r="C5" s="28" t="s">
        <v>226</v>
      </c>
      <c r="D5" s="304" t="s">
        <v>142</v>
      </c>
      <c r="E5" s="302">
        <v>2015</v>
      </c>
      <c r="F5" s="205">
        <v>2454.8000000000002</v>
      </c>
      <c r="G5" s="206">
        <v>4977.66</v>
      </c>
      <c r="H5" s="17"/>
      <c r="I5" s="212"/>
    </row>
    <row r="6" spans="2:9" x14ac:dyDescent="0.25">
      <c r="B6" s="15" t="s">
        <v>216</v>
      </c>
      <c r="C6" s="28" t="s">
        <v>216</v>
      </c>
      <c r="D6" s="304" t="s">
        <v>141</v>
      </c>
      <c r="E6" s="302">
        <v>2016</v>
      </c>
      <c r="F6" s="205">
        <v>768.7</v>
      </c>
      <c r="G6" s="206">
        <v>702.7</v>
      </c>
      <c r="H6" s="17"/>
      <c r="I6" s="212"/>
    </row>
    <row r="7" spans="2:9" x14ac:dyDescent="0.25">
      <c r="B7" s="15" t="s">
        <v>223</v>
      </c>
      <c r="C7" s="28" t="s">
        <v>223</v>
      </c>
      <c r="D7" s="304" t="s">
        <v>141</v>
      </c>
      <c r="E7" s="302">
        <v>2016</v>
      </c>
      <c r="F7" s="205">
        <v>141.19999999999999</v>
      </c>
      <c r="G7" s="206">
        <v>120.45</v>
      </c>
      <c r="H7" s="17"/>
      <c r="I7" s="212"/>
    </row>
    <row r="8" spans="2:9" ht="15.6" customHeight="1" x14ac:dyDescent="0.25">
      <c r="B8" s="15" t="s">
        <v>226</v>
      </c>
      <c r="C8" s="28" t="s">
        <v>226</v>
      </c>
      <c r="D8" s="304" t="s">
        <v>142</v>
      </c>
      <c r="E8" s="302">
        <v>2016</v>
      </c>
      <c r="F8" s="205">
        <v>1041.5999999999999</v>
      </c>
      <c r="G8" s="206">
        <v>1407.56</v>
      </c>
      <c r="H8" s="17"/>
      <c r="I8" s="212"/>
    </row>
    <row r="9" spans="2:9" x14ac:dyDescent="0.25">
      <c r="B9" s="15" t="s">
        <v>216</v>
      </c>
      <c r="C9" s="28" t="s">
        <v>216</v>
      </c>
      <c r="D9" s="304" t="s">
        <v>141</v>
      </c>
      <c r="E9" s="302">
        <v>2017</v>
      </c>
      <c r="F9" s="205">
        <v>1288.7</v>
      </c>
      <c r="G9" s="206">
        <v>1587.7</v>
      </c>
      <c r="H9" s="17"/>
      <c r="I9" s="212"/>
    </row>
    <row r="10" spans="2:9" x14ac:dyDescent="0.25">
      <c r="B10" s="15" t="s">
        <v>223</v>
      </c>
      <c r="C10" s="28" t="s">
        <v>223</v>
      </c>
      <c r="D10" s="304" t="s">
        <v>141</v>
      </c>
      <c r="E10" s="302">
        <v>2017</v>
      </c>
      <c r="F10" s="205">
        <v>176</v>
      </c>
      <c r="G10" s="206">
        <v>218.8</v>
      </c>
      <c r="H10" s="17"/>
      <c r="I10" s="212"/>
    </row>
    <row r="11" spans="2:9" x14ac:dyDescent="0.25">
      <c r="B11" s="15" t="s">
        <v>226</v>
      </c>
      <c r="C11" s="28" t="s">
        <v>226</v>
      </c>
      <c r="D11" s="304" t="s">
        <v>142</v>
      </c>
      <c r="E11" s="302">
        <v>2017</v>
      </c>
      <c r="F11" s="205">
        <v>1422.3</v>
      </c>
      <c r="G11" s="206">
        <v>2585.09</v>
      </c>
      <c r="H11" s="17"/>
      <c r="I11" s="212"/>
    </row>
    <row r="12" spans="2:9" x14ac:dyDescent="0.25">
      <c r="B12" s="223" t="s">
        <v>216</v>
      </c>
      <c r="C12" s="313" t="s">
        <v>216</v>
      </c>
      <c r="D12" s="308" t="s">
        <v>141</v>
      </c>
      <c r="E12" s="314">
        <v>2018</v>
      </c>
      <c r="F12" s="148">
        <v>1335.9</v>
      </c>
      <c r="G12" s="315">
        <v>1941.94</v>
      </c>
      <c r="H12" s="316"/>
      <c r="I12" s="317"/>
    </row>
    <row r="13" spans="2:9" x14ac:dyDescent="0.25">
      <c r="B13" s="15" t="s">
        <v>223</v>
      </c>
      <c r="C13" s="28" t="s">
        <v>223</v>
      </c>
      <c r="D13" s="304" t="s">
        <v>141</v>
      </c>
      <c r="E13" s="302">
        <v>2018</v>
      </c>
      <c r="F13" s="205">
        <v>217.9</v>
      </c>
      <c r="G13" s="206">
        <v>327.89</v>
      </c>
      <c r="H13" s="17"/>
      <c r="I13" s="212"/>
    </row>
    <row r="14" spans="2:9" ht="15.75" thickBot="1" x14ac:dyDescent="0.3">
      <c r="B14" s="31" t="s">
        <v>226</v>
      </c>
      <c r="C14" s="300" t="s">
        <v>226</v>
      </c>
      <c r="D14" s="305" t="s">
        <v>142</v>
      </c>
      <c r="E14" s="303">
        <v>2018</v>
      </c>
      <c r="F14" s="213">
        <v>1958.1</v>
      </c>
      <c r="G14" s="214">
        <v>4294.51</v>
      </c>
      <c r="H14" s="215"/>
      <c r="I14" s="216"/>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753"/>
  <sheetViews>
    <sheetView zoomScaleNormal="100" workbookViewId="0">
      <pane ySplit="1" topLeftCell="A298" activePane="bottomLeft" state="frozen"/>
      <selection pane="bottomLeft" activeCell="X317" sqref="X317"/>
    </sheetView>
  </sheetViews>
  <sheetFormatPr defaultRowHeight="15.75" x14ac:dyDescent="0.25"/>
  <cols>
    <col min="1" max="1" width="14.85546875" style="230" customWidth="1"/>
    <col min="2" max="2" width="27.42578125" customWidth="1"/>
    <col min="3" max="3" width="18.42578125" style="230" customWidth="1"/>
    <col min="4" max="4" width="10.5703125" style="234" customWidth="1"/>
    <col min="5" max="5" width="12.7109375" style="235" customWidth="1"/>
    <col min="6" max="6" width="14" style="230" customWidth="1"/>
    <col min="7" max="7" width="12.42578125" style="230" customWidth="1"/>
    <col min="8" max="8" width="8.85546875" style="230"/>
    <col min="9" max="9" width="13.5703125" style="230" customWidth="1"/>
    <col min="10" max="10" width="14.140625" style="230" customWidth="1"/>
    <col min="11" max="11" width="15.5703125" style="230" customWidth="1"/>
    <col min="12" max="13" width="13.5703125" style="230" customWidth="1"/>
    <col min="14" max="14" width="15.7109375" style="230" customWidth="1"/>
    <col min="16" max="17" width="8.85546875" style="311"/>
    <col min="18" max="18" width="12.7109375" style="235" customWidth="1"/>
    <col min="20" max="20" width="16.28515625" style="230" customWidth="1"/>
  </cols>
  <sheetData>
    <row r="1" spans="1:21" s="11" customFormat="1" ht="30" x14ac:dyDescent="0.25">
      <c r="A1" s="236" t="s">
        <v>247</v>
      </c>
      <c r="B1" s="8" t="s">
        <v>47</v>
      </c>
      <c r="C1" s="236" t="s">
        <v>48</v>
      </c>
      <c r="D1" s="237" t="s">
        <v>34</v>
      </c>
      <c r="E1" s="238" t="s">
        <v>248</v>
      </c>
      <c r="F1" s="236" t="s">
        <v>35</v>
      </c>
      <c r="G1" s="236" t="s">
        <v>36</v>
      </c>
      <c r="H1" s="236" t="s">
        <v>37</v>
      </c>
      <c r="I1" s="236" t="s">
        <v>38</v>
      </c>
      <c r="J1" s="236" t="s">
        <v>39</v>
      </c>
      <c r="K1" s="236" t="s">
        <v>40</v>
      </c>
      <c r="L1" s="236" t="s">
        <v>41</v>
      </c>
      <c r="M1" s="236" t="s">
        <v>42</v>
      </c>
      <c r="N1" s="236" t="s">
        <v>43</v>
      </c>
      <c r="O1" s="11" t="s">
        <v>262</v>
      </c>
      <c r="P1" s="309" t="s">
        <v>250</v>
      </c>
      <c r="Q1" s="309" t="s">
        <v>260</v>
      </c>
      <c r="R1" s="238" t="s">
        <v>248</v>
      </c>
      <c r="S1" s="8" t="s">
        <v>14</v>
      </c>
      <c r="T1" s="228" t="s">
        <v>249</v>
      </c>
    </row>
    <row r="2" spans="1:21" x14ac:dyDescent="0.25">
      <c r="A2" s="239">
        <v>8644026200</v>
      </c>
      <c r="B2" s="240" t="str">
        <f>VLOOKUP(A2,'Energy Provider Accounts'!C:F,2,FALSE)</f>
        <v>Highway Garage</v>
      </c>
      <c r="C2" s="239" t="s">
        <v>230</v>
      </c>
      <c r="D2" s="241">
        <v>42023</v>
      </c>
      <c r="E2" s="241">
        <v>41989</v>
      </c>
      <c r="F2" s="239">
        <v>34</v>
      </c>
      <c r="G2" s="239" t="s">
        <v>251</v>
      </c>
      <c r="H2" s="239" t="s">
        <v>254</v>
      </c>
      <c r="I2" s="242">
        <v>2848</v>
      </c>
      <c r="J2" s="250"/>
      <c r="K2" s="250"/>
      <c r="L2" s="242">
        <v>258.62</v>
      </c>
      <c r="M2" s="242">
        <v>218.58</v>
      </c>
      <c r="N2" s="242">
        <v>477.2</v>
      </c>
      <c r="O2">
        <v>2015</v>
      </c>
      <c r="P2" s="310">
        <f t="shared" ref="P2:P93" si="0">MONTH(D2)</f>
        <v>1</v>
      </c>
      <c r="Q2" s="310"/>
      <c r="R2" s="241">
        <v>41989</v>
      </c>
      <c r="S2" s="240" t="str">
        <f>CHOOSE(P2,"Jan","Feb","Mar","Apr","May","Jun","Jul","Aug","Sep","Oct","Nov","Dec")</f>
        <v>Jan</v>
      </c>
      <c r="T2" s="229" t="s">
        <v>252</v>
      </c>
      <c r="U2" s="251" t="s">
        <v>261</v>
      </c>
    </row>
    <row r="3" spans="1:21" x14ac:dyDescent="0.25">
      <c r="A3" s="243">
        <v>8644026200</v>
      </c>
      <c r="B3" s="240" t="str">
        <f>VLOOKUP(A3,'Energy Provider Accounts'!C:F,2,FALSE)</f>
        <v>Highway Garage</v>
      </c>
      <c r="C3" s="243" t="s">
        <v>230</v>
      </c>
      <c r="D3" s="244">
        <v>42055</v>
      </c>
      <c r="E3" s="244">
        <v>42023</v>
      </c>
      <c r="F3" s="243">
        <v>32</v>
      </c>
      <c r="G3" s="243" t="s">
        <v>251</v>
      </c>
      <c r="H3" s="239" t="s">
        <v>254</v>
      </c>
      <c r="I3" s="243">
        <v>3652</v>
      </c>
      <c r="J3" s="250"/>
      <c r="K3" s="250"/>
      <c r="L3" s="243">
        <v>384.61</v>
      </c>
      <c r="M3" s="243">
        <v>264.13</v>
      </c>
      <c r="N3" s="243">
        <v>648.74</v>
      </c>
      <c r="O3">
        <v>2015</v>
      </c>
      <c r="P3" s="310">
        <f t="shared" si="0"/>
        <v>2</v>
      </c>
      <c r="Q3" s="310"/>
      <c r="R3" s="244">
        <v>42023</v>
      </c>
      <c r="S3" s="240" t="str">
        <f t="shared" ref="S3:S94" si="1">CHOOSE(P3,"Jan","Feb","Mar","Apr","May","Jun","Jul","Aug","Sep","Oct","Nov","Dec")</f>
        <v>Feb</v>
      </c>
      <c r="T3" s="230" t="s">
        <v>252</v>
      </c>
    </row>
    <row r="4" spans="1:21" x14ac:dyDescent="0.25">
      <c r="A4" s="243">
        <v>8644026200</v>
      </c>
      <c r="B4" s="240" t="str">
        <f>VLOOKUP(A4,'Energy Provider Accounts'!C:F,2,FALSE)</f>
        <v>Highway Garage</v>
      </c>
      <c r="C4" s="243" t="s">
        <v>230</v>
      </c>
      <c r="D4" s="244">
        <v>42086</v>
      </c>
      <c r="E4" s="244">
        <v>42055</v>
      </c>
      <c r="F4" s="243">
        <v>31</v>
      </c>
      <c r="G4" s="243" t="s">
        <v>251</v>
      </c>
      <c r="H4" s="239" t="s">
        <v>254</v>
      </c>
      <c r="I4" s="243">
        <v>2789</v>
      </c>
      <c r="J4" s="250"/>
      <c r="K4" s="250"/>
      <c r="L4" s="243">
        <v>360.11</v>
      </c>
      <c r="M4" s="243">
        <v>219.45</v>
      </c>
      <c r="N4" s="243">
        <v>579.55999999999995</v>
      </c>
      <c r="O4">
        <v>2015</v>
      </c>
      <c r="P4" s="310">
        <f t="shared" si="0"/>
        <v>3</v>
      </c>
      <c r="Q4" s="310"/>
      <c r="R4" s="244">
        <v>42055</v>
      </c>
      <c r="S4" s="240" t="str">
        <f t="shared" si="1"/>
        <v>Mar</v>
      </c>
      <c r="T4" s="230" t="s">
        <v>252</v>
      </c>
    </row>
    <row r="5" spans="1:21" x14ac:dyDescent="0.25">
      <c r="A5" s="243">
        <v>8644026200</v>
      </c>
      <c r="B5" s="240" t="str">
        <f>VLOOKUP(A5,'Energy Provider Accounts'!C:F,2,FALSE)</f>
        <v>Highway Garage</v>
      </c>
      <c r="C5" s="243" t="s">
        <v>230</v>
      </c>
      <c r="D5" s="244">
        <v>42116</v>
      </c>
      <c r="E5" s="244">
        <v>42086</v>
      </c>
      <c r="F5" s="243">
        <v>30</v>
      </c>
      <c r="G5" s="243" t="s">
        <v>251</v>
      </c>
      <c r="H5" s="239" t="s">
        <v>254</v>
      </c>
      <c r="I5" s="243">
        <v>1554</v>
      </c>
      <c r="J5" s="250"/>
      <c r="K5" s="250"/>
      <c r="L5" s="243">
        <v>132.69999999999999</v>
      </c>
      <c r="M5" s="243">
        <v>199.97</v>
      </c>
      <c r="N5" s="243">
        <v>332.67</v>
      </c>
      <c r="O5">
        <v>2015</v>
      </c>
      <c r="P5" s="310">
        <f t="shared" si="0"/>
        <v>4</v>
      </c>
      <c r="Q5" s="310"/>
      <c r="R5" s="244">
        <v>42086</v>
      </c>
      <c r="S5" s="240" t="str">
        <f t="shared" si="1"/>
        <v>Apr</v>
      </c>
      <c r="T5" s="230" t="s">
        <v>252</v>
      </c>
    </row>
    <row r="6" spans="1:21" x14ac:dyDescent="0.25">
      <c r="A6" s="243">
        <v>8644026200</v>
      </c>
      <c r="B6" s="240" t="str">
        <f>VLOOKUP(A6,'Energy Provider Accounts'!C:F,2,FALSE)</f>
        <v>Highway Garage</v>
      </c>
      <c r="C6" s="243" t="s">
        <v>230</v>
      </c>
      <c r="D6" s="244">
        <v>42144</v>
      </c>
      <c r="E6" s="244">
        <v>42116</v>
      </c>
      <c r="F6" s="243">
        <v>29</v>
      </c>
      <c r="G6" s="243" t="s">
        <v>251</v>
      </c>
      <c r="H6" s="239" t="s">
        <v>254</v>
      </c>
      <c r="I6" s="243">
        <v>573</v>
      </c>
      <c r="J6" s="250"/>
      <c r="K6" s="250"/>
      <c r="L6" s="243">
        <v>17.489999999999998</v>
      </c>
      <c r="M6" s="243">
        <v>145.53</v>
      </c>
      <c r="N6" s="243">
        <v>163.02000000000001</v>
      </c>
      <c r="O6">
        <v>2015</v>
      </c>
      <c r="P6" s="310">
        <f t="shared" si="0"/>
        <v>5</v>
      </c>
      <c r="Q6" s="310"/>
      <c r="R6" s="244">
        <v>42116</v>
      </c>
      <c r="S6" s="240" t="str">
        <f t="shared" si="1"/>
        <v>May</v>
      </c>
      <c r="T6" s="230" t="s">
        <v>252</v>
      </c>
    </row>
    <row r="7" spans="1:21" x14ac:dyDescent="0.25">
      <c r="A7" s="243">
        <v>8644026200</v>
      </c>
      <c r="B7" s="240" t="str">
        <f>VLOOKUP(A7,'Energy Provider Accounts'!C:F,2,FALSE)</f>
        <v>Highway Garage</v>
      </c>
      <c r="C7" s="243" t="s">
        <v>230</v>
      </c>
      <c r="D7" s="244">
        <v>42174</v>
      </c>
      <c r="E7" s="244">
        <v>42144</v>
      </c>
      <c r="F7" s="243">
        <v>31</v>
      </c>
      <c r="G7" s="243" t="s">
        <v>251</v>
      </c>
      <c r="H7" s="239" t="s">
        <v>254</v>
      </c>
      <c r="I7" s="243">
        <v>527</v>
      </c>
      <c r="J7" s="250"/>
      <c r="K7" s="250"/>
      <c r="L7" s="243">
        <v>27.35</v>
      </c>
      <c r="M7" s="243">
        <v>134.13</v>
      </c>
      <c r="N7" s="243">
        <v>161.47999999999999</v>
      </c>
      <c r="O7">
        <v>2015</v>
      </c>
      <c r="P7" s="310">
        <f t="shared" si="0"/>
        <v>6</v>
      </c>
      <c r="Q7" s="310"/>
      <c r="R7" s="244">
        <v>42144</v>
      </c>
      <c r="S7" s="240" t="str">
        <f t="shared" si="1"/>
        <v>Jun</v>
      </c>
      <c r="T7" s="230" t="s">
        <v>252</v>
      </c>
    </row>
    <row r="8" spans="1:21" x14ac:dyDescent="0.25">
      <c r="A8" s="243">
        <v>8644026200</v>
      </c>
      <c r="B8" s="240" t="str">
        <f>VLOOKUP(A8,'Energy Provider Accounts'!C:F,2,FALSE)</f>
        <v>Highway Garage</v>
      </c>
      <c r="C8" s="243" t="s">
        <v>230</v>
      </c>
      <c r="D8" s="244">
        <v>42205</v>
      </c>
      <c r="E8" s="244">
        <v>42174</v>
      </c>
      <c r="F8" s="243">
        <v>32</v>
      </c>
      <c r="G8" s="243" t="s">
        <v>251</v>
      </c>
      <c r="H8" s="239" t="s">
        <v>254</v>
      </c>
      <c r="I8" s="243">
        <v>557</v>
      </c>
      <c r="J8" s="250"/>
      <c r="K8" s="250"/>
      <c r="L8" s="243">
        <v>34.049999999999997</v>
      </c>
      <c r="M8" s="243">
        <v>165.04</v>
      </c>
      <c r="N8" s="243">
        <v>199.09</v>
      </c>
      <c r="O8">
        <v>2015</v>
      </c>
      <c r="P8" s="310">
        <f t="shared" si="0"/>
        <v>7</v>
      </c>
      <c r="Q8" s="310"/>
      <c r="R8" s="244">
        <v>42174</v>
      </c>
      <c r="S8" s="240" t="str">
        <f t="shared" si="1"/>
        <v>Jul</v>
      </c>
      <c r="T8" s="230" t="s">
        <v>252</v>
      </c>
    </row>
    <row r="9" spans="1:21" x14ac:dyDescent="0.25">
      <c r="A9" s="243">
        <v>8644026200</v>
      </c>
      <c r="B9" s="240" t="str">
        <f>VLOOKUP(A9,'Energy Provider Accounts'!C:F,2,FALSE)</f>
        <v>Highway Garage</v>
      </c>
      <c r="C9" s="243" t="s">
        <v>230</v>
      </c>
      <c r="D9" s="244">
        <v>42235</v>
      </c>
      <c r="E9" s="244">
        <v>42205</v>
      </c>
      <c r="F9" s="243">
        <v>31</v>
      </c>
      <c r="G9" s="243" t="s">
        <v>251</v>
      </c>
      <c r="H9" s="239" t="s">
        <v>254</v>
      </c>
      <c r="I9" s="243">
        <v>705</v>
      </c>
      <c r="J9" s="250"/>
      <c r="K9" s="250"/>
      <c r="L9" s="243">
        <v>51.53</v>
      </c>
      <c r="M9" s="243">
        <v>153.93</v>
      </c>
      <c r="N9" s="243">
        <v>205.46</v>
      </c>
      <c r="O9">
        <v>2015</v>
      </c>
      <c r="P9" s="310">
        <f t="shared" si="0"/>
        <v>8</v>
      </c>
      <c r="Q9" s="310"/>
      <c r="R9" s="244">
        <v>42205</v>
      </c>
      <c r="S9" s="240" t="str">
        <f t="shared" si="1"/>
        <v>Aug</v>
      </c>
      <c r="T9" s="230" t="s">
        <v>252</v>
      </c>
    </row>
    <row r="10" spans="1:21" x14ac:dyDescent="0.25">
      <c r="A10" s="243">
        <v>8644026200</v>
      </c>
      <c r="B10" s="240" t="str">
        <f>VLOOKUP(A10,'Energy Provider Accounts'!C:F,2,FALSE)</f>
        <v>Highway Garage</v>
      </c>
      <c r="C10" s="243" t="s">
        <v>230</v>
      </c>
      <c r="D10" s="244">
        <v>42268</v>
      </c>
      <c r="E10" s="244">
        <v>42235</v>
      </c>
      <c r="F10" s="243">
        <v>32</v>
      </c>
      <c r="G10" s="243" t="s">
        <v>251</v>
      </c>
      <c r="H10" s="239" t="s">
        <v>254</v>
      </c>
      <c r="I10" s="243">
        <v>813</v>
      </c>
      <c r="J10" s="250"/>
      <c r="K10" s="250"/>
      <c r="L10" s="243">
        <v>64.69</v>
      </c>
      <c r="M10" s="243">
        <v>154.09</v>
      </c>
      <c r="N10" s="243">
        <v>218.78</v>
      </c>
      <c r="O10">
        <v>2015</v>
      </c>
      <c r="P10" s="310">
        <f t="shared" si="0"/>
        <v>9</v>
      </c>
      <c r="Q10" s="310"/>
      <c r="R10" s="244">
        <v>42235</v>
      </c>
      <c r="S10" s="240" t="str">
        <f t="shared" si="1"/>
        <v>Sep</v>
      </c>
      <c r="T10" s="230" t="s">
        <v>252</v>
      </c>
    </row>
    <row r="11" spans="1:21" x14ac:dyDescent="0.25">
      <c r="A11" s="243">
        <v>8644026200</v>
      </c>
      <c r="B11" s="240" t="str">
        <f>VLOOKUP(A11,'Energy Provider Accounts'!C:F,2,FALSE)</f>
        <v>Highway Garage</v>
      </c>
      <c r="C11" s="243" t="s">
        <v>230</v>
      </c>
      <c r="D11" s="244">
        <v>42296</v>
      </c>
      <c r="E11" s="244">
        <v>42268</v>
      </c>
      <c r="F11" s="243">
        <v>29</v>
      </c>
      <c r="G11" s="243" t="s">
        <v>251</v>
      </c>
      <c r="H11" s="239" t="s">
        <v>254</v>
      </c>
      <c r="I11" s="243">
        <v>843</v>
      </c>
      <c r="J11" s="250"/>
      <c r="K11" s="250"/>
      <c r="L11" s="243">
        <v>62.99</v>
      </c>
      <c r="M11" s="243">
        <v>153.82</v>
      </c>
      <c r="N11" s="243">
        <v>216.81</v>
      </c>
      <c r="O11">
        <v>2015</v>
      </c>
      <c r="P11" s="310">
        <f t="shared" si="0"/>
        <v>10</v>
      </c>
      <c r="Q11" s="310"/>
      <c r="R11" s="244">
        <v>42268</v>
      </c>
      <c r="S11" s="240" t="str">
        <f t="shared" si="1"/>
        <v>Oct</v>
      </c>
      <c r="T11" s="230" t="s">
        <v>252</v>
      </c>
    </row>
    <row r="12" spans="1:21" x14ac:dyDescent="0.25">
      <c r="A12" s="243">
        <v>8644026200</v>
      </c>
      <c r="B12" s="240" t="str">
        <f>VLOOKUP(A12,'Energy Provider Accounts'!C:F,2,FALSE)</f>
        <v>Highway Garage</v>
      </c>
      <c r="C12" s="243" t="s">
        <v>230</v>
      </c>
      <c r="D12" s="244">
        <v>42325</v>
      </c>
      <c r="E12" s="244">
        <v>42296</v>
      </c>
      <c r="F12" s="243">
        <v>28</v>
      </c>
      <c r="G12" s="243" t="s">
        <v>251</v>
      </c>
      <c r="H12" s="239" t="s">
        <v>254</v>
      </c>
      <c r="I12" s="243">
        <v>1011</v>
      </c>
      <c r="J12" s="250"/>
      <c r="K12" s="250"/>
      <c r="L12" s="243">
        <v>54.06</v>
      </c>
      <c r="M12" s="243">
        <v>171.21</v>
      </c>
      <c r="N12" s="243">
        <v>224.87</v>
      </c>
      <c r="O12">
        <v>2015</v>
      </c>
      <c r="P12" s="310">
        <f t="shared" si="0"/>
        <v>11</v>
      </c>
      <c r="Q12" s="310"/>
      <c r="R12" s="244">
        <v>42296</v>
      </c>
      <c r="S12" s="240" t="str">
        <f t="shared" si="1"/>
        <v>Nov</v>
      </c>
      <c r="T12" s="230" t="s">
        <v>252</v>
      </c>
    </row>
    <row r="13" spans="1:21" x14ac:dyDescent="0.25">
      <c r="A13" s="239">
        <v>8644026200</v>
      </c>
      <c r="B13" s="240" t="str">
        <f>VLOOKUP(A13,'Energy Provider Accounts'!C:F,2,FALSE)</f>
        <v>Highway Garage</v>
      </c>
      <c r="C13" s="239" t="s">
        <v>230</v>
      </c>
      <c r="D13" s="241">
        <v>42355</v>
      </c>
      <c r="E13" s="241">
        <v>42325</v>
      </c>
      <c r="F13" s="239">
        <v>33</v>
      </c>
      <c r="G13" s="239" t="s">
        <v>251</v>
      </c>
      <c r="H13" s="239" t="s">
        <v>254</v>
      </c>
      <c r="I13" s="239">
        <v>1274</v>
      </c>
      <c r="J13" s="250"/>
      <c r="K13" s="250"/>
      <c r="L13" s="245">
        <v>50.3</v>
      </c>
      <c r="M13" s="239">
        <v>172.31</v>
      </c>
      <c r="N13" s="239">
        <v>222.61</v>
      </c>
      <c r="O13">
        <v>2015</v>
      </c>
      <c r="P13" s="310">
        <f t="shared" si="0"/>
        <v>12</v>
      </c>
      <c r="Q13" s="310"/>
      <c r="R13" s="241">
        <v>42325</v>
      </c>
      <c r="S13" s="240" t="str">
        <f t="shared" si="1"/>
        <v>Dec</v>
      </c>
      <c r="T13" s="229" t="s">
        <v>252</v>
      </c>
    </row>
    <row r="14" spans="1:21" x14ac:dyDescent="0.25">
      <c r="A14" s="243">
        <v>8644026200</v>
      </c>
      <c r="B14" s="240" t="str">
        <f>VLOOKUP(A14,'Energy Provider Accounts'!C:F,2,FALSE)</f>
        <v>Highway Garage</v>
      </c>
      <c r="C14" s="243" t="s">
        <v>230</v>
      </c>
      <c r="D14" s="244">
        <v>42387</v>
      </c>
      <c r="E14" s="244">
        <v>42355</v>
      </c>
      <c r="F14" s="243">
        <v>30</v>
      </c>
      <c r="G14" s="243" t="s">
        <v>253</v>
      </c>
      <c r="H14" s="243" t="s">
        <v>254</v>
      </c>
      <c r="I14" s="243">
        <v>2138</v>
      </c>
      <c r="J14" s="243">
        <v>13</v>
      </c>
      <c r="K14" s="243">
        <v>111.14</v>
      </c>
      <c r="L14" s="243">
        <v>286.81</v>
      </c>
      <c r="M14" s="243">
        <v>-38.04</v>
      </c>
      <c r="N14" s="243">
        <v>360.01</v>
      </c>
      <c r="O14">
        <v>2016</v>
      </c>
      <c r="P14" s="310">
        <f t="shared" si="0"/>
        <v>1</v>
      </c>
      <c r="Q14" s="310"/>
      <c r="R14" s="244">
        <v>42355</v>
      </c>
      <c r="S14" s="240" t="str">
        <f t="shared" si="1"/>
        <v>Jan</v>
      </c>
      <c r="T14" s="230" t="s">
        <v>255</v>
      </c>
    </row>
    <row r="15" spans="1:21" x14ac:dyDescent="0.25">
      <c r="A15" s="243">
        <v>8644026200</v>
      </c>
      <c r="B15" s="240" t="str">
        <f>VLOOKUP(A15,'Energy Provider Accounts'!C:F,2,FALSE)</f>
        <v>Highway Garage</v>
      </c>
      <c r="C15" s="243" t="s">
        <v>230</v>
      </c>
      <c r="D15" s="244">
        <v>42418</v>
      </c>
      <c r="E15" s="244">
        <v>42387</v>
      </c>
      <c r="F15" s="243">
        <v>30</v>
      </c>
      <c r="G15" s="243" t="s">
        <v>253</v>
      </c>
      <c r="H15" s="243" t="s">
        <v>254</v>
      </c>
      <c r="I15" s="243">
        <v>2662</v>
      </c>
      <c r="J15" s="243">
        <v>12</v>
      </c>
      <c r="K15" s="243">
        <v>102.72</v>
      </c>
      <c r="L15" s="243">
        <v>432.89</v>
      </c>
      <c r="M15" s="243">
        <v>-115.27</v>
      </c>
      <c r="N15" s="243">
        <v>420.56</v>
      </c>
      <c r="O15">
        <v>2016</v>
      </c>
      <c r="P15" s="310">
        <f t="shared" si="0"/>
        <v>2</v>
      </c>
      <c r="Q15" s="310"/>
      <c r="R15" s="244">
        <v>42387</v>
      </c>
      <c r="S15" s="240" t="str">
        <f t="shared" si="1"/>
        <v>Feb</v>
      </c>
      <c r="T15" s="230" t="s">
        <v>255</v>
      </c>
    </row>
    <row r="16" spans="1:21" x14ac:dyDescent="0.25">
      <c r="A16" s="243">
        <v>8644026200</v>
      </c>
      <c r="B16" s="240" t="str">
        <f>VLOOKUP(A16,'Energy Provider Accounts'!C:F,2,FALSE)</f>
        <v>Highway Garage</v>
      </c>
      <c r="C16" s="243" t="s">
        <v>230</v>
      </c>
      <c r="D16" s="244">
        <v>42446</v>
      </c>
      <c r="E16" s="244">
        <v>42418</v>
      </c>
      <c r="F16" s="243">
        <v>30</v>
      </c>
      <c r="G16" s="243" t="s">
        <v>253</v>
      </c>
      <c r="H16" s="243" t="s">
        <v>254</v>
      </c>
      <c r="I16" s="243">
        <v>1504</v>
      </c>
      <c r="J16" s="243">
        <v>10</v>
      </c>
      <c r="K16" s="243">
        <v>88.41</v>
      </c>
      <c r="L16" s="243">
        <v>231.66</v>
      </c>
      <c r="M16" s="243">
        <v>-16.010000000000002</v>
      </c>
      <c r="N16" s="243">
        <v>304.22000000000003</v>
      </c>
      <c r="O16">
        <v>2016</v>
      </c>
      <c r="P16" s="310">
        <f t="shared" si="0"/>
        <v>3</v>
      </c>
      <c r="Q16" s="310"/>
      <c r="R16" s="244">
        <v>42418</v>
      </c>
      <c r="S16" s="240" t="str">
        <f t="shared" si="1"/>
        <v>Mar</v>
      </c>
      <c r="T16" s="230" t="s">
        <v>255</v>
      </c>
    </row>
    <row r="17" spans="1:20" x14ac:dyDescent="0.25">
      <c r="A17" s="243">
        <v>8644026200</v>
      </c>
      <c r="B17" s="240" t="str">
        <f>VLOOKUP(A17,'Energy Provider Accounts'!C:F,2,FALSE)</f>
        <v>Highway Garage</v>
      </c>
      <c r="C17" s="243" t="s">
        <v>230</v>
      </c>
      <c r="D17" s="244">
        <v>42478</v>
      </c>
      <c r="E17" s="244">
        <v>42446</v>
      </c>
      <c r="F17" s="243">
        <v>30</v>
      </c>
      <c r="G17" s="243" t="s">
        <v>253</v>
      </c>
      <c r="H17" s="243" t="s">
        <v>254</v>
      </c>
      <c r="I17" s="243">
        <v>1471</v>
      </c>
      <c r="J17" s="243">
        <v>11</v>
      </c>
      <c r="K17" s="243">
        <v>95.15</v>
      </c>
      <c r="L17" s="243">
        <v>210.62</v>
      </c>
      <c r="M17" s="243">
        <v>-9.3000000000000007</v>
      </c>
      <c r="N17" s="243">
        <v>296.58</v>
      </c>
      <c r="O17">
        <v>2016</v>
      </c>
      <c r="P17" s="310">
        <f t="shared" si="0"/>
        <v>4</v>
      </c>
      <c r="Q17" s="310"/>
      <c r="R17" s="244">
        <v>42446</v>
      </c>
      <c r="S17" s="240" t="str">
        <f t="shared" si="1"/>
        <v>Apr</v>
      </c>
      <c r="T17" s="230" t="s">
        <v>255</v>
      </c>
    </row>
    <row r="18" spans="1:20" x14ac:dyDescent="0.25">
      <c r="A18" s="243">
        <v>8644026200</v>
      </c>
      <c r="B18" s="240" t="str">
        <f>VLOOKUP(A18,'Energy Provider Accounts'!C:F,2,FALSE)</f>
        <v>Highway Garage</v>
      </c>
      <c r="C18" s="243" t="s">
        <v>230</v>
      </c>
      <c r="D18" s="244">
        <v>42507</v>
      </c>
      <c r="E18" s="244">
        <v>42478</v>
      </c>
      <c r="F18" s="243">
        <v>30</v>
      </c>
      <c r="G18" s="243" t="s">
        <v>253</v>
      </c>
      <c r="H18" s="243" t="s">
        <v>254</v>
      </c>
      <c r="I18" s="243">
        <v>934</v>
      </c>
      <c r="J18" s="243">
        <v>7</v>
      </c>
      <c r="K18" s="243">
        <v>64.83</v>
      </c>
      <c r="L18" s="243">
        <v>106.62</v>
      </c>
      <c r="M18" s="243">
        <v>38.35</v>
      </c>
      <c r="N18" s="243">
        <v>209.87</v>
      </c>
      <c r="O18">
        <v>2016</v>
      </c>
      <c r="P18" s="310">
        <f t="shared" si="0"/>
        <v>5</v>
      </c>
      <c r="Q18" s="310"/>
      <c r="R18" s="244">
        <v>42478</v>
      </c>
      <c r="S18" s="240" t="str">
        <f t="shared" si="1"/>
        <v>May</v>
      </c>
      <c r="T18" s="230" t="s">
        <v>255</v>
      </c>
    </row>
    <row r="19" spans="1:20" x14ac:dyDescent="0.25">
      <c r="A19" s="243">
        <v>8644026200</v>
      </c>
      <c r="B19" s="240" t="str">
        <f>VLOOKUP(A19,'Energy Provider Accounts'!C:F,2,FALSE)</f>
        <v>Highway Garage</v>
      </c>
      <c r="C19" s="243" t="s">
        <v>230</v>
      </c>
      <c r="D19" s="244">
        <v>42538</v>
      </c>
      <c r="E19" s="244">
        <v>42507</v>
      </c>
      <c r="F19" s="243">
        <v>30</v>
      </c>
      <c r="G19" s="243" t="s">
        <v>256</v>
      </c>
      <c r="H19" s="243" t="s">
        <v>254</v>
      </c>
      <c r="I19" s="243">
        <v>857</v>
      </c>
      <c r="J19" s="243">
        <v>8</v>
      </c>
      <c r="K19" s="243">
        <v>68.2</v>
      </c>
      <c r="L19" s="243">
        <v>109.84</v>
      </c>
      <c r="M19" s="243">
        <v>34.51</v>
      </c>
      <c r="N19" s="243">
        <v>212.63</v>
      </c>
      <c r="O19">
        <v>2016</v>
      </c>
      <c r="P19" s="310">
        <f t="shared" si="0"/>
        <v>6</v>
      </c>
      <c r="Q19" s="310"/>
      <c r="R19" s="244">
        <v>42507</v>
      </c>
      <c r="S19" s="240" t="str">
        <f t="shared" si="1"/>
        <v>Jun</v>
      </c>
      <c r="T19" s="230" t="s">
        <v>255</v>
      </c>
    </row>
    <row r="20" spans="1:20" x14ac:dyDescent="0.25">
      <c r="A20" s="243">
        <v>8644026200</v>
      </c>
      <c r="B20" s="240" t="str">
        <f>VLOOKUP(A20,'Energy Provider Accounts'!C:F,2,FALSE)</f>
        <v>Highway Garage</v>
      </c>
      <c r="C20" s="243" t="s">
        <v>230</v>
      </c>
      <c r="D20" s="244">
        <v>42570</v>
      </c>
      <c r="E20" s="244">
        <v>42538</v>
      </c>
      <c r="F20" s="243">
        <v>30</v>
      </c>
      <c r="G20" s="243" t="s">
        <v>256</v>
      </c>
      <c r="H20" s="243" t="s">
        <v>254</v>
      </c>
      <c r="I20" s="243">
        <v>575</v>
      </c>
      <c r="J20" s="243">
        <v>8</v>
      </c>
      <c r="K20" s="243">
        <v>73.36</v>
      </c>
      <c r="L20" s="243">
        <v>68.989999999999995</v>
      </c>
      <c r="M20" s="243">
        <v>53.7</v>
      </c>
      <c r="N20" s="243">
        <v>196.13</v>
      </c>
      <c r="O20">
        <v>2016</v>
      </c>
      <c r="P20" s="310">
        <f t="shared" si="0"/>
        <v>7</v>
      </c>
      <c r="Q20" s="310"/>
      <c r="R20" s="244">
        <v>42538</v>
      </c>
      <c r="S20" s="240" t="str">
        <f t="shared" si="1"/>
        <v>Jul</v>
      </c>
      <c r="T20" s="230" t="s">
        <v>255</v>
      </c>
    </row>
    <row r="21" spans="1:20" x14ac:dyDescent="0.25">
      <c r="A21" s="246">
        <v>8644026200</v>
      </c>
      <c r="B21" s="240" t="str">
        <f>VLOOKUP(A21,'Energy Provider Accounts'!C:F,2,FALSE)</f>
        <v>Highway Garage</v>
      </c>
      <c r="C21" s="246" t="s">
        <v>230</v>
      </c>
      <c r="D21" s="247">
        <v>42587</v>
      </c>
      <c r="E21" s="247">
        <v>42570</v>
      </c>
      <c r="F21" s="246">
        <v>17</v>
      </c>
      <c r="G21" s="246" t="s">
        <v>253</v>
      </c>
      <c r="H21" s="246" t="s">
        <v>254</v>
      </c>
      <c r="I21" s="246">
        <v>1981</v>
      </c>
      <c r="J21" s="246">
        <v>8</v>
      </c>
      <c r="K21" s="246">
        <v>178.22</v>
      </c>
      <c r="L21" s="246">
        <v>222.62</v>
      </c>
      <c r="M21" s="246">
        <v>122.26</v>
      </c>
      <c r="N21" s="246">
        <v>523.28</v>
      </c>
      <c r="O21">
        <v>2016</v>
      </c>
      <c r="P21" s="310">
        <f t="shared" si="0"/>
        <v>8</v>
      </c>
      <c r="Q21" s="310"/>
      <c r="R21" s="247">
        <v>42570</v>
      </c>
      <c r="S21" s="240" t="str">
        <f t="shared" si="1"/>
        <v>Aug</v>
      </c>
      <c r="T21" s="231" t="s">
        <v>255</v>
      </c>
    </row>
    <row r="22" spans="1:20" x14ac:dyDescent="0.25">
      <c r="A22" s="246">
        <v>8644026200</v>
      </c>
      <c r="B22" s="240" t="str">
        <f>VLOOKUP(A22,'Energy Provider Accounts'!C:F,2,FALSE)</f>
        <v>Highway Garage</v>
      </c>
      <c r="C22" s="246" t="s">
        <v>230</v>
      </c>
      <c r="D22" s="247">
        <v>42599</v>
      </c>
      <c r="E22" s="247">
        <v>42587</v>
      </c>
      <c r="F22" s="246">
        <v>12</v>
      </c>
      <c r="G22" s="246" t="s">
        <v>253</v>
      </c>
      <c r="H22" s="246" t="s">
        <v>254</v>
      </c>
      <c r="I22" s="246">
        <v>418</v>
      </c>
      <c r="J22" s="246">
        <v>6</v>
      </c>
      <c r="K22" s="246">
        <v>23.15</v>
      </c>
      <c r="L22" s="246">
        <v>57.68</v>
      </c>
      <c r="M22" s="246">
        <v>8.09</v>
      </c>
      <c r="N22" s="246">
        <v>88.95</v>
      </c>
      <c r="O22">
        <v>2016</v>
      </c>
      <c r="P22" s="310">
        <f t="shared" si="0"/>
        <v>8</v>
      </c>
      <c r="Q22" s="310"/>
      <c r="R22" s="247">
        <v>42587</v>
      </c>
      <c r="S22" s="240" t="str">
        <f t="shared" si="1"/>
        <v>Aug</v>
      </c>
      <c r="T22" s="231" t="s">
        <v>255</v>
      </c>
    </row>
    <row r="23" spans="1:20" x14ac:dyDescent="0.25">
      <c r="A23" s="243">
        <v>8644026200</v>
      </c>
      <c r="B23" s="240" t="str">
        <f>VLOOKUP(A23,'Energy Provider Accounts'!C:F,2,FALSE)</f>
        <v>Highway Garage</v>
      </c>
      <c r="C23" s="243" t="s">
        <v>230</v>
      </c>
      <c r="D23" s="244">
        <v>42632</v>
      </c>
      <c r="E23" s="247">
        <v>42599</v>
      </c>
      <c r="F23" s="243">
        <v>30</v>
      </c>
      <c r="G23" s="243" t="s">
        <v>253</v>
      </c>
      <c r="H23" s="243" t="s">
        <v>254</v>
      </c>
      <c r="I23" s="243">
        <v>952</v>
      </c>
      <c r="J23" s="243">
        <v>9</v>
      </c>
      <c r="K23" s="243">
        <v>85.07</v>
      </c>
      <c r="L23" s="243">
        <v>148.28</v>
      </c>
      <c r="M23" s="243">
        <v>17.399999999999999</v>
      </c>
      <c r="N23" s="243">
        <v>250.84</v>
      </c>
      <c r="O23">
        <v>2016</v>
      </c>
      <c r="P23" s="310">
        <f t="shared" si="0"/>
        <v>9</v>
      </c>
      <c r="Q23" s="310"/>
      <c r="R23" s="247">
        <v>42599</v>
      </c>
      <c r="S23" s="240" t="str">
        <f t="shared" si="1"/>
        <v>Sep</v>
      </c>
      <c r="T23" s="230" t="s">
        <v>255</v>
      </c>
    </row>
    <row r="24" spans="1:20" x14ac:dyDescent="0.25">
      <c r="A24" s="243">
        <v>8644026200</v>
      </c>
      <c r="B24" s="240" t="str">
        <f>VLOOKUP(A24,'Energy Provider Accounts'!C:F,2,FALSE)</f>
        <v>Highway Garage</v>
      </c>
      <c r="C24" s="243" t="s">
        <v>230</v>
      </c>
      <c r="D24" s="244">
        <v>42661</v>
      </c>
      <c r="E24" s="244">
        <v>42631</v>
      </c>
      <c r="F24" s="243">
        <v>30</v>
      </c>
      <c r="G24" s="243" t="s">
        <v>253</v>
      </c>
      <c r="H24" s="243" t="s">
        <v>254</v>
      </c>
      <c r="I24" s="243">
        <v>840</v>
      </c>
      <c r="J24" s="243">
        <v>7</v>
      </c>
      <c r="K24" s="243">
        <v>67.53</v>
      </c>
      <c r="L24" s="243">
        <v>89.89</v>
      </c>
      <c r="M24" s="243">
        <v>45.89</v>
      </c>
      <c r="N24" s="243">
        <v>203.39</v>
      </c>
      <c r="O24">
        <v>2016</v>
      </c>
      <c r="P24" s="310">
        <f t="shared" si="0"/>
        <v>10</v>
      </c>
      <c r="Q24" s="310"/>
      <c r="R24" s="244">
        <v>42631</v>
      </c>
      <c r="S24" s="240" t="str">
        <f t="shared" si="1"/>
        <v>Oct</v>
      </c>
      <c r="T24" s="230" t="s">
        <v>255</v>
      </c>
    </row>
    <row r="25" spans="1:20" x14ac:dyDescent="0.25">
      <c r="A25" s="243">
        <v>8644026200</v>
      </c>
      <c r="B25" s="240" t="str">
        <f>VLOOKUP(A25,'Energy Provider Accounts'!C:F,2,FALSE)</f>
        <v>Highway Garage</v>
      </c>
      <c r="C25" s="243" t="s">
        <v>230</v>
      </c>
      <c r="D25" s="244">
        <v>42690</v>
      </c>
      <c r="E25" s="244">
        <v>42661</v>
      </c>
      <c r="F25" s="243">
        <v>29</v>
      </c>
      <c r="G25" s="243" t="s">
        <v>253</v>
      </c>
      <c r="H25" s="243" t="s">
        <v>254</v>
      </c>
      <c r="I25" s="243">
        <v>1071</v>
      </c>
      <c r="J25" s="243">
        <v>9</v>
      </c>
      <c r="K25" s="243">
        <v>81.56</v>
      </c>
      <c r="L25" s="243">
        <v>129.25</v>
      </c>
      <c r="M25" s="243">
        <v>28.3</v>
      </c>
      <c r="N25" s="243">
        <v>239.18</v>
      </c>
      <c r="O25">
        <v>2016</v>
      </c>
      <c r="P25" s="310">
        <f t="shared" si="0"/>
        <v>11</v>
      </c>
      <c r="Q25" s="310"/>
      <c r="R25" s="244">
        <v>42661</v>
      </c>
      <c r="S25" s="240" t="str">
        <f t="shared" si="1"/>
        <v>Nov</v>
      </c>
      <c r="T25" s="230" t="s">
        <v>255</v>
      </c>
    </row>
    <row r="26" spans="1:20" x14ac:dyDescent="0.25">
      <c r="A26" s="243">
        <v>8644026200</v>
      </c>
      <c r="B26" s="240" t="str">
        <f>VLOOKUP(A26,'Energy Provider Accounts'!C:F,2,FALSE)</f>
        <v>Highway Garage</v>
      </c>
      <c r="C26" s="243" t="s">
        <v>230</v>
      </c>
      <c r="D26" s="244">
        <v>42720</v>
      </c>
      <c r="E26" s="244">
        <v>42690</v>
      </c>
      <c r="F26" s="243">
        <v>30</v>
      </c>
      <c r="G26" s="243" t="s">
        <v>253</v>
      </c>
      <c r="H26" s="243" t="s">
        <v>254</v>
      </c>
      <c r="I26" s="243">
        <v>2179</v>
      </c>
      <c r="J26" s="243">
        <v>10</v>
      </c>
      <c r="K26" s="243">
        <v>89.45</v>
      </c>
      <c r="L26" s="243">
        <v>302.89</v>
      </c>
      <c r="M26" s="243">
        <v>-50.45</v>
      </c>
      <c r="N26" s="243">
        <v>342.01</v>
      </c>
      <c r="O26">
        <v>2016</v>
      </c>
      <c r="P26" s="310">
        <f t="shared" si="0"/>
        <v>12</v>
      </c>
      <c r="Q26" s="310"/>
      <c r="R26" s="244">
        <v>42690</v>
      </c>
      <c r="S26" s="240" t="str">
        <f t="shared" si="1"/>
        <v>Dec</v>
      </c>
      <c r="T26" s="230" t="s">
        <v>255</v>
      </c>
    </row>
    <row r="27" spans="1:20" x14ac:dyDescent="0.25">
      <c r="A27" s="243">
        <v>8644026200</v>
      </c>
      <c r="B27" s="240" t="str">
        <f>VLOOKUP(A27,'Energy Provider Accounts'!C:F,2,FALSE)</f>
        <v>Highway Garage</v>
      </c>
      <c r="C27" s="243" t="s">
        <v>230</v>
      </c>
      <c r="D27" s="244">
        <v>42754</v>
      </c>
      <c r="E27" s="244">
        <v>42720</v>
      </c>
      <c r="F27" s="243">
        <v>34</v>
      </c>
      <c r="G27" s="243" t="s">
        <v>253</v>
      </c>
      <c r="H27" s="243" t="s">
        <v>254</v>
      </c>
      <c r="I27" s="243">
        <v>3401</v>
      </c>
      <c r="J27" s="243">
        <v>14</v>
      </c>
      <c r="K27" s="243">
        <v>128.04</v>
      </c>
      <c r="L27" s="243">
        <v>357.45</v>
      </c>
      <c r="M27" s="243">
        <v>-70.569999999999993</v>
      </c>
      <c r="N27" s="243">
        <v>415.06</v>
      </c>
      <c r="O27">
        <v>2017</v>
      </c>
      <c r="P27" s="310">
        <f t="shared" si="0"/>
        <v>1</v>
      </c>
      <c r="Q27" s="310"/>
      <c r="R27" s="244">
        <v>42720</v>
      </c>
      <c r="S27" s="240" t="str">
        <f t="shared" si="1"/>
        <v>Jan</v>
      </c>
      <c r="T27" s="230" t="s">
        <v>255</v>
      </c>
    </row>
    <row r="28" spans="1:20" x14ac:dyDescent="0.25">
      <c r="A28" s="243">
        <v>8644026200</v>
      </c>
      <c r="B28" s="240" t="str">
        <f>VLOOKUP(A28,'Energy Provider Accounts'!C:F,2,FALSE)</f>
        <v>Highway Garage</v>
      </c>
      <c r="C28" s="243" t="s">
        <v>230</v>
      </c>
      <c r="D28" s="244">
        <v>42787</v>
      </c>
      <c r="E28" s="244">
        <v>42754</v>
      </c>
      <c r="F28" s="243">
        <v>32</v>
      </c>
      <c r="G28" s="243" t="s">
        <v>253</v>
      </c>
      <c r="H28" s="243" t="s">
        <v>254</v>
      </c>
      <c r="I28" s="243">
        <v>2425</v>
      </c>
      <c r="J28" s="243">
        <v>13</v>
      </c>
      <c r="K28" s="243">
        <v>117.52</v>
      </c>
      <c r="L28" s="243">
        <v>359.18</v>
      </c>
      <c r="M28" s="243">
        <v>-80.34</v>
      </c>
      <c r="N28" s="243">
        <v>396.54</v>
      </c>
      <c r="O28">
        <v>2017</v>
      </c>
      <c r="P28" s="310">
        <f t="shared" si="0"/>
        <v>2</v>
      </c>
      <c r="Q28" s="310"/>
      <c r="R28" s="244">
        <v>42754</v>
      </c>
      <c r="S28" s="240" t="str">
        <f t="shared" si="1"/>
        <v>Feb</v>
      </c>
      <c r="T28" s="230" t="s">
        <v>255</v>
      </c>
    </row>
    <row r="29" spans="1:20" x14ac:dyDescent="0.25">
      <c r="A29" s="243">
        <v>8644026200</v>
      </c>
      <c r="B29" s="240" t="str">
        <f>VLOOKUP(A29,'Energy Provider Accounts'!C:F,2,FALSE)</f>
        <v>Highway Garage</v>
      </c>
      <c r="C29" s="243" t="s">
        <v>230</v>
      </c>
      <c r="D29" s="244">
        <v>42815</v>
      </c>
      <c r="E29" s="244">
        <v>42787</v>
      </c>
      <c r="F29" s="243">
        <v>30</v>
      </c>
      <c r="G29" s="243" t="s">
        <v>253</v>
      </c>
      <c r="H29" s="243" t="s">
        <v>254</v>
      </c>
      <c r="I29" s="243">
        <v>1940</v>
      </c>
      <c r="J29" s="243">
        <v>12</v>
      </c>
      <c r="K29" s="243">
        <v>106.99</v>
      </c>
      <c r="L29" s="243">
        <v>245.26</v>
      </c>
      <c r="M29" s="243">
        <v>-24.63</v>
      </c>
      <c r="N29" s="243">
        <v>327.77</v>
      </c>
      <c r="O29">
        <v>2017</v>
      </c>
      <c r="P29" s="310">
        <f t="shared" si="0"/>
        <v>3</v>
      </c>
      <c r="Q29" s="310"/>
      <c r="R29" s="244">
        <v>42787</v>
      </c>
      <c r="S29" s="240" t="str">
        <f t="shared" si="1"/>
        <v>Mar</v>
      </c>
      <c r="T29" s="230" t="s">
        <v>255</v>
      </c>
    </row>
    <row r="30" spans="1:20" x14ac:dyDescent="0.25">
      <c r="A30" s="243">
        <v>8644026200</v>
      </c>
      <c r="B30" s="240" t="str">
        <f>VLOOKUP(A30,'Energy Provider Accounts'!C:F,2,FALSE)</f>
        <v>Highway Garage</v>
      </c>
      <c r="C30" s="243" t="s">
        <v>230</v>
      </c>
      <c r="D30" s="244">
        <v>42845</v>
      </c>
      <c r="E30" s="244">
        <v>42815</v>
      </c>
      <c r="F30" s="243">
        <v>30</v>
      </c>
      <c r="G30" s="243" t="s">
        <v>253</v>
      </c>
      <c r="H30" s="243" t="s">
        <v>254</v>
      </c>
      <c r="I30" s="243">
        <v>1219</v>
      </c>
      <c r="J30" s="243">
        <v>9</v>
      </c>
      <c r="K30" s="243">
        <v>86.82</v>
      </c>
      <c r="L30" s="243">
        <v>150.87</v>
      </c>
      <c r="M30" s="243">
        <v>17.420000000000002</v>
      </c>
      <c r="N30" s="243">
        <v>255.2</v>
      </c>
      <c r="O30">
        <v>2017</v>
      </c>
      <c r="P30" s="310">
        <f t="shared" si="0"/>
        <v>4</v>
      </c>
      <c r="Q30" s="310"/>
      <c r="R30" s="244">
        <v>42815</v>
      </c>
      <c r="S30" s="240" t="str">
        <f t="shared" si="1"/>
        <v>Apr</v>
      </c>
      <c r="T30" s="230" t="s">
        <v>255</v>
      </c>
    </row>
    <row r="31" spans="1:20" x14ac:dyDescent="0.25">
      <c r="A31" s="243">
        <v>8644026200</v>
      </c>
      <c r="B31" s="240" t="str">
        <f>VLOOKUP(A31,'Energy Provider Accounts'!C:F,2,FALSE)</f>
        <v>Highway Garage</v>
      </c>
      <c r="C31" s="243" t="s">
        <v>230</v>
      </c>
      <c r="D31" s="244">
        <v>42874</v>
      </c>
      <c r="E31" s="244">
        <v>42845</v>
      </c>
      <c r="F31" s="243">
        <v>30</v>
      </c>
      <c r="G31" s="243" t="s">
        <v>253</v>
      </c>
      <c r="H31" s="243" t="s">
        <v>254</v>
      </c>
      <c r="I31" s="243">
        <v>894</v>
      </c>
      <c r="J31" s="243">
        <v>7</v>
      </c>
      <c r="K31" s="243">
        <v>64.02</v>
      </c>
      <c r="L31" s="243">
        <v>160.99</v>
      </c>
      <c r="M31" s="243">
        <v>9.2200000000000006</v>
      </c>
      <c r="N31" s="243">
        <v>234.33</v>
      </c>
      <c r="O31">
        <v>2017</v>
      </c>
      <c r="P31" s="310">
        <f t="shared" si="0"/>
        <v>5</v>
      </c>
      <c r="Q31" s="310"/>
      <c r="R31" s="244">
        <v>42845</v>
      </c>
      <c r="S31" s="240" t="str">
        <f t="shared" si="1"/>
        <v>May</v>
      </c>
      <c r="T31" s="230" t="s">
        <v>255</v>
      </c>
    </row>
    <row r="32" spans="1:20" x14ac:dyDescent="0.25">
      <c r="A32" s="243">
        <v>8644026200</v>
      </c>
      <c r="B32" s="240" t="str">
        <f>VLOOKUP(A32,'Energy Provider Accounts'!C:F,2,FALSE)</f>
        <v>Highway Garage</v>
      </c>
      <c r="C32" s="243" t="s">
        <v>230</v>
      </c>
      <c r="D32" s="244">
        <v>42906</v>
      </c>
      <c r="E32" s="244">
        <v>42874</v>
      </c>
      <c r="F32" s="243">
        <v>30</v>
      </c>
      <c r="G32" s="243" t="s">
        <v>253</v>
      </c>
      <c r="H32" s="243" t="s">
        <v>254</v>
      </c>
      <c r="I32" s="243">
        <v>752</v>
      </c>
      <c r="J32" s="243">
        <v>7</v>
      </c>
      <c r="K32" s="243">
        <v>65.78</v>
      </c>
      <c r="L32" s="243">
        <v>106.21</v>
      </c>
      <c r="M32" s="243">
        <v>36.14</v>
      </c>
      <c r="N32" s="243">
        <v>208.21</v>
      </c>
      <c r="O32">
        <v>2017</v>
      </c>
      <c r="P32" s="310">
        <f t="shared" si="0"/>
        <v>6</v>
      </c>
      <c r="Q32" s="310"/>
      <c r="R32" s="244">
        <v>42874</v>
      </c>
      <c r="S32" s="240" t="str">
        <f t="shared" si="1"/>
        <v>Jun</v>
      </c>
      <c r="T32" s="230" t="s">
        <v>255</v>
      </c>
    </row>
    <row r="33" spans="1:20" x14ac:dyDescent="0.25">
      <c r="A33" s="239">
        <v>8644026200</v>
      </c>
      <c r="B33" s="240" t="str">
        <f>VLOOKUP(A33,'Energy Provider Accounts'!C:F,2,FALSE)</f>
        <v>Highway Garage</v>
      </c>
      <c r="C33" s="239" t="s">
        <v>230</v>
      </c>
      <c r="D33" s="233">
        <v>42963</v>
      </c>
      <c r="E33" s="233">
        <v>42906</v>
      </c>
      <c r="F33" s="239">
        <v>60</v>
      </c>
      <c r="G33" s="239" t="s">
        <v>256</v>
      </c>
      <c r="H33" s="239" t="s">
        <v>254</v>
      </c>
      <c r="I33" s="239">
        <v>1985</v>
      </c>
      <c r="J33" s="239">
        <v>7</v>
      </c>
      <c r="K33" s="239">
        <v>134.81</v>
      </c>
      <c r="L33" s="239">
        <v>264.61</v>
      </c>
      <c r="M33" s="239">
        <v>48.45</v>
      </c>
      <c r="N33" s="239">
        <v>448.05</v>
      </c>
      <c r="O33">
        <v>2017</v>
      </c>
      <c r="P33" s="310">
        <f t="shared" si="0"/>
        <v>8</v>
      </c>
      <c r="Q33" s="310"/>
      <c r="R33" s="233">
        <v>42906</v>
      </c>
      <c r="S33" s="240" t="str">
        <f t="shared" si="1"/>
        <v>Aug</v>
      </c>
      <c r="T33" s="229" t="s">
        <v>255</v>
      </c>
    </row>
    <row r="34" spans="1:20" x14ac:dyDescent="0.25">
      <c r="A34" s="239">
        <v>8644026200</v>
      </c>
      <c r="B34" s="240" t="str">
        <f>VLOOKUP(A34,'Energy Provider Accounts'!C:F,2,FALSE)</f>
        <v>Highway Garage</v>
      </c>
      <c r="C34" s="239" t="s">
        <v>230</v>
      </c>
      <c r="D34" s="233">
        <v>42997</v>
      </c>
      <c r="E34" s="233">
        <v>42964</v>
      </c>
      <c r="F34" s="239">
        <v>90</v>
      </c>
      <c r="G34" s="239" t="s">
        <v>253</v>
      </c>
      <c r="H34" s="239" t="s">
        <v>254</v>
      </c>
      <c r="I34" s="239">
        <v>2301</v>
      </c>
      <c r="J34" s="239">
        <v>9</v>
      </c>
      <c r="K34" s="239">
        <v>251.7</v>
      </c>
      <c r="L34" s="239">
        <v>294.55</v>
      </c>
      <c r="M34" s="239">
        <v>121.63</v>
      </c>
      <c r="N34" s="239">
        <v>668.15</v>
      </c>
      <c r="O34">
        <v>2017</v>
      </c>
      <c r="P34" s="310">
        <f t="shared" si="0"/>
        <v>9</v>
      </c>
      <c r="Q34" s="310"/>
      <c r="R34" s="233">
        <v>42964</v>
      </c>
      <c r="S34" s="240" t="str">
        <f t="shared" si="1"/>
        <v>Sep</v>
      </c>
      <c r="T34" s="229" t="s">
        <v>255</v>
      </c>
    </row>
    <row r="35" spans="1:20" x14ac:dyDescent="0.25">
      <c r="A35" s="243">
        <v>8644026200</v>
      </c>
      <c r="B35" s="240" t="str">
        <f>VLOOKUP(A35,'Energy Provider Accounts'!C:F,2,FALSE)</f>
        <v>Highway Garage</v>
      </c>
      <c r="C35" s="243" t="s">
        <v>230</v>
      </c>
      <c r="D35" s="244">
        <v>43026</v>
      </c>
      <c r="E35" s="244">
        <v>42997</v>
      </c>
      <c r="F35" s="243">
        <v>30</v>
      </c>
      <c r="G35" s="243" t="s">
        <v>253</v>
      </c>
      <c r="H35" s="243" t="s">
        <v>254</v>
      </c>
      <c r="I35" s="243">
        <v>806</v>
      </c>
      <c r="J35" s="243">
        <v>7</v>
      </c>
      <c r="K35" s="243">
        <v>65.23</v>
      </c>
      <c r="L35" s="243">
        <v>88.31</v>
      </c>
      <c r="M35" s="243">
        <v>46.23</v>
      </c>
      <c r="N35" s="243">
        <v>199.84</v>
      </c>
      <c r="O35">
        <v>2017</v>
      </c>
      <c r="P35" s="310">
        <f t="shared" si="0"/>
        <v>10</v>
      </c>
      <c r="Q35" s="310"/>
      <c r="R35" s="244">
        <v>42997</v>
      </c>
      <c r="S35" s="240" t="str">
        <f t="shared" si="1"/>
        <v>Oct</v>
      </c>
      <c r="T35" s="230" t="s">
        <v>255</v>
      </c>
    </row>
    <row r="36" spans="1:20" x14ac:dyDescent="0.25">
      <c r="A36" s="243">
        <v>8644026200</v>
      </c>
      <c r="B36" s="240" t="str">
        <f>VLOOKUP(A36,'Energy Provider Accounts'!C:F,2,FALSE)</f>
        <v>Highway Garage</v>
      </c>
      <c r="C36" s="243" t="s">
        <v>230</v>
      </c>
      <c r="D36" s="244">
        <v>43054</v>
      </c>
      <c r="E36" s="241">
        <v>43024</v>
      </c>
      <c r="F36" s="243">
        <v>30</v>
      </c>
      <c r="G36" s="243" t="s">
        <v>253</v>
      </c>
      <c r="H36" s="243" t="s">
        <v>254</v>
      </c>
      <c r="I36" s="243">
        <v>1002</v>
      </c>
      <c r="J36" s="243">
        <v>11</v>
      </c>
      <c r="K36" s="243">
        <v>107.81</v>
      </c>
      <c r="L36" s="243">
        <v>130.53</v>
      </c>
      <c r="M36" s="243">
        <v>26.9</v>
      </c>
      <c r="N36" s="243">
        <v>265.33999999999997</v>
      </c>
      <c r="O36">
        <v>2017</v>
      </c>
      <c r="P36" s="310">
        <f t="shared" si="0"/>
        <v>11</v>
      </c>
      <c r="Q36" s="310"/>
      <c r="R36" s="241">
        <v>43024</v>
      </c>
      <c r="S36" s="240" t="str">
        <f t="shared" si="1"/>
        <v>Nov</v>
      </c>
      <c r="T36" s="230" t="s">
        <v>255</v>
      </c>
    </row>
    <row r="37" spans="1:20" x14ac:dyDescent="0.25">
      <c r="A37" s="243">
        <v>8644026200</v>
      </c>
      <c r="B37" s="240" t="str">
        <f>VLOOKUP(A37,'Energy Provider Accounts'!C:F,2,FALSE)</f>
        <v>Highway Garage</v>
      </c>
      <c r="C37" s="243" t="s">
        <v>230</v>
      </c>
      <c r="D37" s="244">
        <v>43087</v>
      </c>
      <c r="E37" s="244">
        <v>43057</v>
      </c>
      <c r="F37" s="243">
        <v>30</v>
      </c>
      <c r="G37" s="243" t="s">
        <v>253</v>
      </c>
      <c r="H37" s="243" t="s">
        <v>254</v>
      </c>
      <c r="I37" s="243">
        <v>2345</v>
      </c>
      <c r="J37" s="243">
        <v>13</v>
      </c>
      <c r="K37" s="243">
        <v>118.69</v>
      </c>
      <c r="L37" s="243">
        <v>309.45999999999998</v>
      </c>
      <c r="M37" s="243">
        <v>-53.56</v>
      </c>
      <c r="N37" s="243">
        <v>374.73</v>
      </c>
      <c r="O37">
        <v>2017</v>
      </c>
      <c r="P37" s="310">
        <f t="shared" si="0"/>
        <v>12</v>
      </c>
      <c r="Q37" s="310"/>
      <c r="R37" s="244">
        <v>43057</v>
      </c>
      <c r="S37" s="240" t="str">
        <f t="shared" si="1"/>
        <v>Dec</v>
      </c>
      <c r="T37" s="230" t="s">
        <v>255</v>
      </c>
    </row>
    <row r="38" spans="1:20" x14ac:dyDescent="0.25">
      <c r="A38" s="243">
        <v>8644026200</v>
      </c>
      <c r="B38" s="240" t="str">
        <f>VLOOKUP(A38,'Energy Provider Accounts'!C:F,2,FALSE)</f>
        <v>Highway Garage</v>
      </c>
      <c r="C38" s="243" t="s">
        <v>230</v>
      </c>
      <c r="D38" s="244">
        <v>43118</v>
      </c>
      <c r="E38" s="244">
        <v>43087</v>
      </c>
      <c r="F38" s="243">
        <v>31</v>
      </c>
      <c r="G38" s="243" t="s">
        <v>253</v>
      </c>
      <c r="H38" s="243" t="s">
        <v>254</v>
      </c>
      <c r="I38" s="243">
        <v>3217</v>
      </c>
      <c r="J38" s="243"/>
      <c r="K38" s="243"/>
      <c r="L38" s="243">
        <v>206.96</v>
      </c>
      <c r="M38" s="243">
        <v>230.86</v>
      </c>
      <c r="N38" s="243">
        <v>437.82</v>
      </c>
      <c r="O38">
        <v>2018</v>
      </c>
      <c r="P38" s="310">
        <f t="shared" ref="P38:P49" si="2">MONTH(D38)</f>
        <v>1</v>
      </c>
      <c r="Q38" s="310"/>
      <c r="R38" s="244">
        <v>43452</v>
      </c>
      <c r="S38" s="240" t="str">
        <f t="shared" ref="S38:S49" si="3">CHOOSE(P38,"Jan","Feb","Mar","Apr","May","Jun","Jul","Aug","Sep","Oct","Nov","Dec")</f>
        <v>Jan</v>
      </c>
      <c r="T38" s="230" t="s">
        <v>252</v>
      </c>
    </row>
    <row r="39" spans="1:20" x14ac:dyDescent="0.25">
      <c r="A39" s="243">
        <v>8644026200</v>
      </c>
      <c r="B39" s="240" t="str">
        <f>VLOOKUP(A39,'Energy Provider Accounts'!C:F,2,FALSE)</f>
        <v>Highway Garage</v>
      </c>
      <c r="C39" s="243" t="s">
        <v>230</v>
      </c>
      <c r="D39" s="244">
        <v>43152</v>
      </c>
      <c r="E39" s="244">
        <v>43118</v>
      </c>
      <c r="F39" s="243">
        <v>34</v>
      </c>
      <c r="G39" s="243" t="s">
        <v>253</v>
      </c>
      <c r="H39" s="243" t="s">
        <v>254</v>
      </c>
      <c r="I39" s="243">
        <v>3214</v>
      </c>
      <c r="J39" s="243"/>
      <c r="K39" s="243"/>
      <c r="L39" s="243">
        <v>288.26</v>
      </c>
      <c r="M39" s="243">
        <v>235.45</v>
      </c>
      <c r="N39" s="243">
        <v>523.71</v>
      </c>
      <c r="O39">
        <v>2018</v>
      </c>
      <c r="P39" s="310">
        <f t="shared" si="2"/>
        <v>2</v>
      </c>
      <c r="Q39" s="310"/>
      <c r="R39" s="244">
        <v>43118</v>
      </c>
      <c r="S39" s="240" t="str">
        <f t="shared" si="3"/>
        <v>Feb</v>
      </c>
      <c r="T39" s="230" t="s">
        <v>252</v>
      </c>
    </row>
    <row r="40" spans="1:20" x14ac:dyDescent="0.25">
      <c r="A40" s="243">
        <v>8644026200</v>
      </c>
      <c r="B40" s="240" t="str">
        <f>VLOOKUP(A40,'Energy Provider Accounts'!C:F,2,FALSE)</f>
        <v>Highway Garage</v>
      </c>
      <c r="C40" s="243" t="s">
        <v>230</v>
      </c>
      <c r="D40" s="244">
        <v>43179</v>
      </c>
      <c r="E40" s="244">
        <v>43152</v>
      </c>
      <c r="F40" s="243">
        <v>29</v>
      </c>
      <c r="G40" s="243" t="s">
        <v>263</v>
      </c>
      <c r="H40" s="243" t="s">
        <v>254</v>
      </c>
      <c r="I40" s="243">
        <v>1827</v>
      </c>
      <c r="J40" s="243"/>
      <c r="K40" s="243"/>
      <c r="L40" s="243">
        <v>163.21</v>
      </c>
      <c r="M40" s="243">
        <v>194.85</v>
      </c>
      <c r="N40" s="243">
        <v>358.06</v>
      </c>
      <c r="O40" s="318">
        <v>2018</v>
      </c>
      <c r="P40" s="310">
        <f t="shared" si="2"/>
        <v>3</v>
      </c>
      <c r="Q40" s="310"/>
      <c r="R40" s="244">
        <v>43152</v>
      </c>
      <c r="S40" s="261" t="str">
        <f t="shared" si="3"/>
        <v>Mar</v>
      </c>
      <c r="T40" s="230" t="s">
        <v>252</v>
      </c>
    </row>
    <row r="41" spans="1:20" x14ac:dyDescent="0.25">
      <c r="A41" s="243">
        <v>8644026200</v>
      </c>
      <c r="B41" s="240" t="str">
        <f>VLOOKUP(A41,'Energy Provider Accounts'!C:F,2,FALSE)</f>
        <v>Highway Garage</v>
      </c>
      <c r="C41" s="243" t="s">
        <v>230</v>
      </c>
      <c r="D41" s="244">
        <v>43207</v>
      </c>
      <c r="E41" s="244">
        <v>43179</v>
      </c>
      <c r="F41" s="243">
        <v>28</v>
      </c>
      <c r="G41" s="243" t="s">
        <v>263</v>
      </c>
      <c r="H41" s="243" t="s">
        <v>254</v>
      </c>
      <c r="I41" s="243">
        <v>1646</v>
      </c>
      <c r="J41" s="243"/>
      <c r="K41" s="243"/>
      <c r="L41" s="243">
        <v>76.959999999999994</v>
      </c>
      <c r="M41" s="243">
        <v>202.02</v>
      </c>
      <c r="N41" s="243">
        <v>278.98</v>
      </c>
      <c r="O41" s="318">
        <v>2018</v>
      </c>
      <c r="P41" s="310">
        <f t="shared" si="2"/>
        <v>4</v>
      </c>
      <c r="Q41" s="310"/>
      <c r="R41" s="244">
        <v>43179</v>
      </c>
      <c r="S41" s="261" t="str">
        <f t="shared" si="3"/>
        <v>Apr</v>
      </c>
      <c r="T41" s="230" t="s">
        <v>252</v>
      </c>
    </row>
    <row r="42" spans="1:20" x14ac:dyDescent="0.25">
      <c r="A42" s="243">
        <v>8644026200</v>
      </c>
      <c r="B42" s="240" t="str">
        <f>VLOOKUP(A42,'Energy Provider Accounts'!C:F,2,FALSE)</f>
        <v>Highway Garage</v>
      </c>
      <c r="C42" s="243" t="s">
        <v>230</v>
      </c>
      <c r="D42" s="244">
        <v>43241</v>
      </c>
      <c r="E42" s="244">
        <v>43207</v>
      </c>
      <c r="F42" s="243">
        <v>34</v>
      </c>
      <c r="G42" s="243" t="s">
        <v>263</v>
      </c>
      <c r="H42" s="243" t="s">
        <v>254</v>
      </c>
      <c r="I42" s="243">
        <v>1075</v>
      </c>
      <c r="J42" s="243">
        <v>10.6</v>
      </c>
      <c r="K42" s="243"/>
      <c r="L42" s="243">
        <v>76.86</v>
      </c>
      <c r="M42" s="243">
        <v>193.99</v>
      </c>
      <c r="N42" s="243">
        <v>270.85000000000002</v>
      </c>
      <c r="O42" s="318">
        <v>2018</v>
      </c>
      <c r="P42" s="310">
        <f t="shared" si="2"/>
        <v>5</v>
      </c>
      <c r="Q42" s="310"/>
      <c r="R42" s="244">
        <v>43207</v>
      </c>
      <c r="S42" s="261" t="str">
        <f t="shared" si="3"/>
        <v>May</v>
      </c>
      <c r="T42" s="230" t="s">
        <v>252</v>
      </c>
    </row>
    <row r="43" spans="1:20" x14ac:dyDescent="0.25">
      <c r="A43" s="243">
        <v>8644026200</v>
      </c>
      <c r="B43" s="240" t="str">
        <f>VLOOKUP(A43,'Energy Provider Accounts'!C:F,2,FALSE)</f>
        <v>Highway Garage</v>
      </c>
      <c r="C43" s="243" t="s">
        <v>230</v>
      </c>
      <c r="D43" s="244">
        <v>43265</v>
      </c>
      <c r="E43" s="244">
        <v>43241</v>
      </c>
      <c r="F43" s="243">
        <v>24</v>
      </c>
      <c r="G43" s="243" t="s">
        <v>263</v>
      </c>
      <c r="H43" s="243" t="s">
        <v>254</v>
      </c>
      <c r="I43" s="243">
        <v>586</v>
      </c>
      <c r="J43" s="243">
        <v>6.8</v>
      </c>
      <c r="K43" s="243"/>
      <c r="L43" s="243">
        <v>51.37</v>
      </c>
      <c r="M43" s="243">
        <v>123.12</v>
      </c>
      <c r="N43" s="243">
        <v>174.49</v>
      </c>
      <c r="O43" s="318">
        <v>2018</v>
      </c>
      <c r="P43" s="310">
        <f t="shared" si="2"/>
        <v>6</v>
      </c>
      <c r="Q43" s="310"/>
      <c r="R43" s="244">
        <v>43241</v>
      </c>
      <c r="S43" s="261" t="str">
        <f t="shared" si="3"/>
        <v>Jun</v>
      </c>
      <c r="T43" s="230" t="s">
        <v>252</v>
      </c>
    </row>
    <row r="44" spans="1:20" x14ac:dyDescent="0.25">
      <c r="A44" s="243">
        <v>8644026200</v>
      </c>
      <c r="B44" s="240" t="str">
        <f>VLOOKUP(A44,'Energy Provider Accounts'!C:F,2,FALSE)</f>
        <v>Highway Garage</v>
      </c>
      <c r="C44" s="243" t="s">
        <v>230</v>
      </c>
      <c r="D44" s="244">
        <v>43298</v>
      </c>
      <c r="E44" s="244">
        <v>43265</v>
      </c>
      <c r="F44" s="243">
        <v>33</v>
      </c>
      <c r="G44" s="243" t="s">
        <v>263</v>
      </c>
      <c r="H44" s="243" t="s">
        <v>254</v>
      </c>
      <c r="I44" s="243">
        <v>822</v>
      </c>
      <c r="J44" s="243">
        <v>8.3000000000000007</v>
      </c>
      <c r="K44" s="243"/>
      <c r="L44" s="243">
        <v>49.73</v>
      </c>
      <c r="M44" s="243">
        <v>174.68</v>
      </c>
      <c r="N44" s="243">
        <v>224.41</v>
      </c>
      <c r="O44" s="318">
        <v>2018</v>
      </c>
      <c r="P44" s="310">
        <f t="shared" si="2"/>
        <v>7</v>
      </c>
      <c r="Q44" s="310"/>
      <c r="R44" s="244">
        <v>43265</v>
      </c>
      <c r="S44" s="261" t="str">
        <f t="shared" si="3"/>
        <v>Jul</v>
      </c>
      <c r="T44" s="230" t="s">
        <v>252</v>
      </c>
    </row>
    <row r="45" spans="1:20" x14ac:dyDescent="0.25">
      <c r="A45" s="243">
        <v>8644026200</v>
      </c>
      <c r="B45" s="240" t="str">
        <f>VLOOKUP(A45,'Energy Provider Accounts'!C:F,2,FALSE)</f>
        <v>Highway Garage</v>
      </c>
      <c r="C45" s="243" t="s">
        <v>230</v>
      </c>
      <c r="D45" s="244">
        <v>43328</v>
      </c>
      <c r="E45" s="244">
        <v>43298</v>
      </c>
      <c r="F45" s="243">
        <v>30</v>
      </c>
      <c r="G45" s="243" t="s">
        <v>263</v>
      </c>
      <c r="H45" s="243" t="s">
        <v>254</v>
      </c>
      <c r="I45" s="243">
        <v>919</v>
      </c>
      <c r="J45" s="243">
        <v>6.7</v>
      </c>
      <c r="K45" s="243"/>
      <c r="L45" s="243">
        <v>56.43</v>
      </c>
      <c r="M45" s="243">
        <v>168.72</v>
      </c>
      <c r="N45" s="243">
        <v>225.15</v>
      </c>
      <c r="O45" s="318">
        <v>2018</v>
      </c>
      <c r="P45" s="310">
        <f t="shared" si="2"/>
        <v>8</v>
      </c>
      <c r="Q45" s="310"/>
      <c r="R45" s="244">
        <v>43298</v>
      </c>
      <c r="S45" s="261" t="str">
        <f t="shared" si="3"/>
        <v>Aug</v>
      </c>
      <c r="T45" s="230" t="s">
        <v>252</v>
      </c>
    </row>
    <row r="46" spans="1:20" x14ac:dyDescent="0.25">
      <c r="A46" s="243">
        <v>8644026200</v>
      </c>
      <c r="B46" s="240" t="str">
        <f>VLOOKUP(A46,'Energy Provider Accounts'!C:F,2,FALSE)</f>
        <v>Highway Garage</v>
      </c>
      <c r="C46" s="243" t="s">
        <v>230</v>
      </c>
      <c r="D46" s="244">
        <v>43360</v>
      </c>
      <c r="E46" s="244">
        <v>43328</v>
      </c>
      <c r="F46" s="243">
        <v>31</v>
      </c>
      <c r="G46" s="243" t="s">
        <v>263</v>
      </c>
      <c r="H46" s="243" t="s">
        <v>254</v>
      </c>
      <c r="I46" s="243">
        <v>981</v>
      </c>
      <c r="J46" s="243">
        <v>8.6</v>
      </c>
      <c r="K46" s="243"/>
      <c r="L46" s="249">
        <v>82.1</v>
      </c>
      <c r="M46" s="249">
        <v>185.4</v>
      </c>
      <c r="N46" s="249">
        <v>257.5</v>
      </c>
      <c r="O46" s="318">
        <v>2018</v>
      </c>
      <c r="P46" s="310">
        <f t="shared" si="2"/>
        <v>9</v>
      </c>
      <c r="Q46" s="310"/>
      <c r="R46" s="244">
        <v>43328</v>
      </c>
      <c r="S46" s="261" t="str">
        <f t="shared" si="3"/>
        <v>Sep</v>
      </c>
      <c r="T46" s="230" t="s">
        <v>252</v>
      </c>
    </row>
    <row r="47" spans="1:20" x14ac:dyDescent="0.25">
      <c r="A47" s="243">
        <v>8644026200</v>
      </c>
      <c r="B47" s="240" t="str">
        <f>VLOOKUP(A47,'Energy Provider Accounts'!C:F,2,FALSE)</f>
        <v>Highway Garage</v>
      </c>
      <c r="C47" s="243" t="s">
        <v>230</v>
      </c>
      <c r="D47" s="244">
        <v>43390</v>
      </c>
      <c r="E47" s="244">
        <v>43360</v>
      </c>
      <c r="F47" s="243">
        <v>30</v>
      </c>
      <c r="G47" s="243" t="s">
        <v>263</v>
      </c>
      <c r="H47" s="243" t="s">
        <v>254</v>
      </c>
      <c r="I47" s="243">
        <v>780</v>
      </c>
      <c r="J47" s="243">
        <v>8.6</v>
      </c>
      <c r="K47" s="243"/>
      <c r="L47" s="243">
        <v>65.89</v>
      </c>
      <c r="M47" s="243">
        <v>183.53</v>
      </c>
      <c r="N47" s="243">
        <v>249.42</v>
      </c>
      <c r="O47" s="318">
        <v>2018</v>
      </c>
      <c r="P47" s="310">
        <f t="shared" si="2"/>
        <v>10</v>
      </c>
      <c r="Q47" s="310"/>
      <c r="R47" s="244">
        <v>43360</v>
      </c>
      <c r="S47" s="261" t="str">
        <f t="shared" si="3"/>
        <v>Oct</v>
      </c>
      <c r="T47" s="230" t="s">
        <v>252</v>
      </c>
    </row>
    <row r="48" spans="1:20" x14ac:dyDescent="0.25">
      <c r="A48" s="243">
        <v>8644026200</v>
      </c>
      <c r="B48" s="240" t="str">
        <f>VLOOKUP(A48,'Energy Provider Accounts'!C:F,2,FALSE)</f>
        <v>Highway Garage</v>
      </c>
      <c r="C48" s="243" t="s">
        <v>230</v>
      </c>
      <c r="D48" s="244">
        <v>43419</v>
      </c>
      <c r="E48" s="244">
        <v>43390</v>
      </c>
      <c r="F48" s="243">
        <v>29</v>
      </c>
      <c r="G48" s="243" t="s">
        <v>263</v>
      </c>
      <c r="H48" s="243" t="s">
        <v>254</v>
      </c>
      <c r="I48" s="243">
        <v>1189</v>
      </c>
      <c r="J48" s="243">
        <v>8.6999999999999993</v>
      </c>
      <c r="K48" s="243"/>
      <c r="L48" s="249">
        <v>80.900000000000006</v>
      </c>
      <c r="M48" s="243">
        <v>189.77</v>
      </c>
      <c r="N48" s="243">
        <v>270.61</v>
      </c>
      <c r="O48" s="318">
        <v>2018</v>
      </c>
      <c r="P48" s="310">
        <f t="shared" si="2"/>
        <v>11</v>
      </c>
      <c r="Q48" s="310"/>
      <c r="R48" s="244">
        <v>43755</v>
      </c>
      <c r="S48" s="261" t="str">
        <f t="shared" si="3"/>
        <v>Nov</v>
      </c>
      <c r="T48" s="230" t="s">
        <v>252</v>
      </c>
    </row>
    <row r="49" spans="1:20" x14ac:dyDescent="0.25">
      <c r="A49" s="243">
        <v>8644026200</v>
      </c>
      <c r="B49" s="240" t="str">
        <f>VLOOKUP(A49,'Energy Provider Accounts'!C:F,2,FALSE)</f>
        <v>Highway Garage</v>
      </c>
      <c r="C49" s="243" t="s">
        <v>230</v>
      </c>
      <c r="D49" s="244">
        <v>43451</v>
      </c>
      <c r="E49" s="244">
        <v>43419</v>
      </c>
      <c r="F49" s="243">
        <v>32</v>
      </c>
      <c r="G49" s="243" t="s">
        <v>263</v>
      </c>
      <c r="H49" s="243" t="s">
        <v>254</v>
      </c>
      <c r="I49" s="243">
        <v>2286</v>
      </c>
      <c r="J49" s="243">
        <v>12.3</v>
      </c>
      <c r="K49" s="243"/>
      <c r="L49" s="243">
        <v>102.44</v>
      </c>
      <c r="M49" s="243">
        <v>229.01</v>
      </c>
      <c r="N49" s="243">
        <v>331.45</v>
      </c>
      <c r="O49" s="318">
        <v>2018</v>
      </c>
      <c r="P49" s="310">
        <f t="shared" si="2"/>
        <v>12</v>
      </c>
      <c r="Q49" s="310"/>
      <c r="R49" s="244">
        <v>43419</v>
      </c>
      <c r="S49" s="261" t="str">
        <f t="shared" si="3"/>
        <v>Dec</v>
      </c>
      <c r="T49" s="230" t="s">
        <v>252</v>
      </c>
    </row>
    <row r="50" spans="1:20" x14ac:dyDescent="0.25">
      <c r="A50" s="243">
        <v>8644026200</v>
      </c>
      <c r="B50" s="240" t="str">
        <f>VLOOKUP(A50,'Energy Provider Accounts'!C:F,2,FALSE)</f>
        <v>Highway Garage</v>
      </c>
      <c r="C50" s="243" t="s">
        <v>230</v>
      </c>
      <c r="D50" s="244"/>
      <c r="E50" s="244"/>
      <c r="F50" s="243"/>
      <c r="G50" s="243"/>
      <c r="H50" s="243"/>
      <c r="I50" s="243"/>
      <c r="J50" s="243"/>
      <c r="K50" s="243"/>
      <c r="L50" s="243"/>
      <c r="M50" s="243"/>
      <c r="N50" s="243"/>
      <c r="P50" s="310"/>
      <c r="Q50" s="310"/>
      <c r="R50" s="244"/>
      <c r="S50" s="240"/>
    </row>
    <row r="51" spans="1:20" x14ac:dyDescent="0.25">
      <c r="A51" s="243">
        <v>8408015500</v>
      </c>
      <c r="B51" s="240" t="str">
        <f>VLOOKUP(A51,'Energy Provider Accounts'!C:F,2,FALSE)</f>
        <v>Kennel</v>
      </c>
      <c r="C51" s="243" t="s">
        <v>230</v>
      </c>
      <c r="D51" s="244">
        <v>42032</v>
      </c>
      <c r="E51" s="244">
        <v>41974</v>
      </c>
      <c r="F51" s="243">
        <v>59</v>
      </c>
      <c r="G51" s="243" t="s">
        <v>251</v>
      </c>
      <c r="H51" s="243" t="s">
        <v>254</v>
      </c>
      <c r="I51" s="243">
        <v>1406</v>
      </c>
      <c r="J51" s="250"/>
      <c r="K51" s="250"/>
      <c r="L51" s="243">
        <v>121.64</v>
      </c>
      <c r="M51" s="243">
        <v>125.45</v>
      </c>
      <c r="N51" s="243">
        <v>247.09</v>
      </c>
      <c r="O51">
        <v>2015</v>
      </c>
      <c r="P51" s="310">
        <f t="shared" si="0"/>
        <v>1</v>
      </c>
      <c r="Q51" s="310"/>
      <c r="R51" s="244">
        <v>41974</v>
      </c>
      <c r="S51" s="240" t="str">
        <f t="shared" si="1"/>
        <v>Jan</v>
      </c>
      <c r="T51" s="230" t="s">
        <v>255</v>
      </c>
    </row>
    <row r="52" spans="1:20" x14ac:dyDescent="0.25">
      <c r="A52" s="243">
        <v>8408015500</v>
      </c>
      <c r="B52" s="240" t="str">
        <f>VLOOKUP(A52,'Energy Provider Accounts'!C:F,2,FALSE)</f>
        <v>Kennel</v>
      </c>
      <c r="C52" s="243" t="s">
        <v>230</v>
      </c>
      <c r="D52" s="244">
        <v>42095</v>
      </c>
      <c r="E52" s="244">
        <v>42032</v>
      </c>
      <c r="F52" s="243">
        <v>62</v>
      </c>
      <c r="G52" s="243" t="s">
        <v>251</v>
      </c>
      <c r="H52" s="243" t="s">
        <v>254</v>
      </c>
      <c r="I52" s="243">
        <v>31</v>
      </c>
      <c r="J52" s="250"/>
      <c r="K52" s="250"/>
      <c r="L52" s="243">
        <v>4.72</v>
      </c>
      <c r="M52" s="243">
        <v>49.72</v>
      </c>
      <c r="N52" s="243">
        <v>54.44</v>
      </c>
      <c r="O52">
        <v>2015</v>
      </c>
      <c r="P52" s="310">
        <f t="shared" si="0"/>
        <v>4</v>
      </c>
      <c r="Q52" s="310"/>
      <c r="R52" s="244">
        <v>42032</v>
      </c>
      <c r="S52" s="240" t="str">
        <f t="shared" si="1"/>
        <v>Apr</v>
      </c>
      <c r="T52" s="230" t="s">
        <v>255</v>
      </c>
    </row>
    <row r="53" spans="1:20" x14ac:dyDescent="0.25">
      <c r="A53" s="243">
        <v>8408015500</v>
      </c>
      <c r="B53" s="240" t="str">
        <f>VLOOKUP(A53,'Energy Provider Accounts'!C:F,2,FALSE)</f>
        <v>Kennel</v>
      </c>
      <c r="C53" s="243" t="s">
        <v>230</v>
      </c>
      <c r="D53" s="244">
        <v>42157</v>
      </c>
      <c r="E53" s="244">
        <v>42095</v>
      </c>
      <c r="F53" s="243">
        <v>64</v>
      </c>
      <c r="G53" s="243" t="s">
        <v>257</v>
      </c>
      <c r="H53" s="243" t="s">
        <v>254</v>
      </c>
      <c r="I53" s="243">
        <v>24</v>
      </c>
      <c r="J53" s="250"/>
      <c r="K53" s="250"/>
      <c r="L53" s="243">
        <v>2.46</v>
      </c>
      <c r="M53" s="243">
        <v>49.44</v>
      </c>
      <c r="N53" s="243">
        <v>51.9</v>
      </c>
      <c r="O53">
        <v>2015</v>
      </c>
      <c r="P53" s="310">
        <f t="shared" si="0"/>
        <v>6</v>
      </c>
      <c r="Q53" s="310"/>
      <c r="R53" s="244">
        <v>42095</v>
      </c>
      <c r="S53" s="240" t="str">
        <f t="shared" si="1"/>
        <v>Jun</v>
      </c>
      <c r="T53" s="230" t="s">
        <v>255</v>
      </c>
    </row>
    <row r="54" spans="1:20" x14ac:dyDescent="0.25">
      <c r="A54" s="246">
        <v>8408015500</v>
      </c>
      <c r="B54" s="240" t="str">
        <f>VLOOKUP(A54,'Energy Provider Accounts'!C:F,2,FALSE)</f>
        <v>Kennel</v>
      </c>
      <c r="C54" s="246" t="s">
        <v>230</v>
      </c>
      <c r="D54" s="247">
        <v>42216</v>
      </c>
      <c r="E54" s="247">
        <v>42157</v>
      </c>
      <c r="F54" s="246">
        <v>28</v>
      </c>
      <c r="G54" s="246" t="s">
        <v>251</v>
      </c>
      <c r="H54" s="243" t="s">
        <v>254</v>
      </c>
      <c r="I54" s="246">
        <v>121</v>
      </c>
      <c r="J54" s="250"/>
      <c r="K54" s="250"/>
      <c r="L54" s="246">
        <v>14.16</v>
      </c>
      <c r="M54" s="246">
        <v>48</v>
      </c>
      <c r="N54" s="246">
        <v>63.32</v>
      </c>
      <c r="O54">
        <v>2015</v>
      </c>
      <c r="P54" s="310">
        <f t="shared" si="0"/>
        <v>7</v>
      </c>
      <c r="Q54" s="310"/>
      <c r="R54" s="247">
        <v>42157</v>
      </c>
      <c r="S54" s="240" t="str">
        <f t="shared" si="1"/>
        <v>Jul</v>
      </c>
      <c r="T54" s="230" t="s">
        <v>255</v>
      </c>
    </row>
    <row r="55" spans="1:20" x14ac:dyDescent="0.25">
      <c r="A55" s="242">
        <v>8408015500</v>
      </c>
      <c r="B55" s="240" t="str">
        <f>VLOOKUP(A55,'Energy Provider Accounts'!C:F,2,FALSE)</f>
        <v>Kennel</v>
      </c>
      <c r="C55" s="242" t="s">
        <v>230</v>
      </c>
      <c r="D55" s="248">
        <v>42278</v>
      </c>
      <c r="E55" s="248" t="s">
        <v>258</v>
      </c>
      <c r="F55" s="242">
        <v>63</v>
      </c>
      <c r="G55" s="242" t="s">
        <v>251</v>
      </c>
      <c r="H55" s="243" t="s">
        <v>254</v>
      </c>
      <c r="I55" s="242">
        <v>80</v>
      </c>
      <c r="J55" s="250"/>
      <c r="K55" s="250"/>
      <c r="L55" s="242">
        <v>7.38</v>
      </c>
      <c r="M55" s="242">
        <v>52.91</v>
      </c>
      <c r="N55" s="242">
        <v>60.29</v>
      </c>
      <c r="O55">
        <v>2015</v>
      </c>
      <c r="P55" s="310">
        <f t="shared" si="0"/>
        <v>10</v>
      </c>
      <c r="Q55" s="310"/>
      <c r="R55" s="248" t="s">
        <v>258</v>
      </c>
      <c r="S55" s="240" t="str">
        <f t="shared" si="1"/>
        <v>Oct</v>
      </c>
      <c r="T55" s="230" t="s">
        <v>255</v>
      </c>
    </row>
    <row r="56" spans="1:20" x14ac:dyDescent="0.25">
      <c r="A56" s="242">
        <v>8408015500</v>
      </c>
      <c r="B56" s="240" t="str">
        <f>VLOOKUP(A56,'Energy Provider Accounts'!C:F,2,FALSE)</f>
        <v>Kennel</v>
      </c>
      <c r="C56" s="242" t="s">
        <v>230</v>
      </c>
      <c r="D56" s="248">
        <v>42339</v>
      </c>
      <c r="E56" s="248">
        <v>42278</v>
      </c>
      <c r="F56" s="242">
        <v>62</v>
      </c>
      <c r="G56" s="242" t="s">
        <v>251</v>
      </c>
      <c r="H56" s="243" t="s">
        <v>254</v>
      </c>
      <c r="I56" s="242">
        <v>5</v>
      </c>
      <c r="J56" s="250"/>
      <c r="K56" s="250"/>
      <c r="L56" s="242">
        <v>0.34</v>
      </c>
      <c r="M56" s="242">
        <v>48.31</v>
      </c>
      <c r="N56" s="242">
        <v>49.64</v>
      </c>
      <c r="O56">
        <v>2015</v>
      </c>
      <c r="P56" s="310">
        <f t="shared" si="0"/>
        <v>12</v>
      </c>
      <c r="Q56" s="310"/>
      <c r="R56" s="248">
        <v>42278</v>
      </c>
      <c r="S56" s="240" t="str">
        <f t="shared" si="1"/>
        <v>Dec</v>
      </c>
      <c r="T56" s="230" t="s">
        <v>255</v>
      </c>
    </row>
    <row r="57" spans="1:20" x14ac:dyDescent="0.25">
      <c r="A57" s="243">
        <v>8408015500</v>
      </c>
      <c r="B57" s="240" t="str">
        <f>VLOOKUP(A57,'Energy Provider Accounts'!C:F,2,FALSE)</f>
        <v>Kennel</v>
      </c>
      <c r="C57" s="243" t="s">
        <v>230</v>
      </c>
      <c r="D57" s="244">
        <v>42398</v>
      </c>
      <c r="E57" s="244">
        <v>42339</v>
      </c>
      <c r="F57" s="243">
        <v>60</v>
      </c>
      <c r="G57" s="243" t="s">
        <v>253</v>
      </c>
      <c r="H57" s="243" t="s">
        <v>254</v>
      </c>
      <c r="I57" s="243">
        <v>183</v>
      </c>
      <c r="J57" s="243">
        <v>0</v>
      </c>
      <c r="K57" s="243">
        <v>0</v>
      </c>
      <c r="L57" s="243">
        <v>20.3</v>
      </c>
      <c r="M57" s="243">
        <v>47.39</v>
      </c>
      <c r="N57" s="243">
        <v>68.930000000000007</v>
      </c>
      <c r="O57">
        <v>2016</v>
      </c>
      <c r="P57" s="310">
        <f t="shared" si="0"/>
        <v>1</v>
      </c>
      <c r="Q57" s="310"/>
      <c r="R57" s="244">
        <v>42339</v>
      </c>
      <c r="S57" s="240" t="str">
        <f t="shared" si="1"/>
        <v>Jan</v>
      </c>
      <c r="T57" s="230" t="s">
        <v>255</v>
      </c>
    </row>
    <row r="58" spans="1:20" x14ac:dyDescent="0.25">
      <c r="A58" s="243">
        <v>8408015500</v>
      </c>
      <c r="B58" s="240" t="str">
        <f>VLOOKUP(A58,'Energy Provider Accounts'!C:F,2,FALSE)</f>
        <v>Kennel</v>
      </c>
      <c r="C58" s="243" t="s">
        <v>230</v>
      </c>
      <c r="D58" s="244">
        <v>42458</v>
      </c>
      <c r="E58" s="244">
        <v>42398</v>
      </c>
      <c r="F58" s="243">
        <v>60</v>
      </c>
      <c r="G58" s="243" t="s">
        <v>253</v>
      </c>
      <c r="H58" s="243" t="s">
        <v>254</v>
      </c>
      <c r="I58" s="243">
        <v>37</v>
      </c>
      <c r="J58" s="243">
        <v>0</v>
      </c>
      <c r="K58" s="243">
        <v>0</v>
      </c>
      <c r="L58" s="243">
        <v>5.96</v>
      </c>
      <c r="M58" s="243">
        <v>47.02</v>
      </c>
      <c r="N58" s="243">
        <v>54.03</v>
      </c>
      <c r="O58">
        <v>2016</v>
      </c>
      <c r="P58" s="310">
        <f t="shared" si="0"/>
        <v>3</v>
      </c>
      <c r="Q58" s="310"/>
      <c r="R58" s="244">
        <v>42398</v>
      </c>
      <c r="S58" s="240" t="str">
        <f t="shared" si="1"/>
        <v>Mar</v>
      </c>
      <c r="T58" s="230" t="s">
        <v>255</v>
      </c>
    </row>
    <row r="59" spans="1:20" x14ac:dyDescent="0.25">
      <c r="A59" s="243">
        <v>8408015500</v>
      </c>
      <c r="B59" s="240" t="str">
        <f>VLOOKUP(A59,'Energy Provider Accounts'!C:F,2,FALSE)</f>
        <v>Kennel</v>
      </c>
      <c r="C59" s="243" t="s">
        <v>230</v>
      </c>
      <c r="D59" s="244">
        <v>42517</v>
      </c>
      <c r="E59" s="244">
        <v>42458</v>
      </c>
      <c r="F59" s="243">
        <v>60</v>
      </c>
      <c r="G59" s="243" t="s">
        <v>253</v>
      </c>
      <c r="H59" s="243" t="s">
        <v>254</v>
      </c>
      <c r="I59" s="243">
        <v>2</v>
      </c>
      <c r="J59" s="243">
        <v>0</v>
      </c>
      <c r="K59" s="243">
        <v>0</v>
      </c>
      <c r="L59" s="243">
        <v>0.27</v>
      </c>
      <c r="M59" s="243">
        <v>47.97</v>
      </c>
      <c r="N59" s="243">
        <v>49.24</v>
      </c>
      <c r="O59">
        <v>2016</v>
      </c>
      <c r="P59" s="310">
        <f t="shared" si="0"/>
        <v>5</v>
      </c>
      <c r="Q59" s="310"/>
      <c r="R59" s="244">
        <v>42458</v>
      </c>
      <c r="S59" s="240" t="str">
        <f t="shared" si="1"/>
        <v>May</v>
      </c>
      <c r="T59" s="230" t="s">
        <v>255</v>
      </c>
    </row>
    <row r="60" spans="1:20" x14ac:dyDescent="0.25">
      <c r="A60" s="243">
        <v>8408015500</v>
      </c>
      <c r="B60" s="240" t="str">
        <f>VLOOKUP(A60,'Energy Provider Accounts'!C:F,2,FALSE)</f>
        <v>Kennel</v>
      </c>
      <c r="C60" s="243" t="s">
        <v>230</v>
      </c>
      <c r="D60" s="244">
        <v>42551</v>
      </c>
      <c r="E60" s="244">
        <v>42517</v>
      </c>
      <c r="F60" s="243">
        <v>34</v>
      </c>
      <c r="G60" s="243" t="s">
        <v>256</v>
      </c>
      <c r="H60" s="243" t="s">
        <v>254</v>
      </c>
      <c r="I60" s="243">
        <v>105</v>
      </c>
      <c r="J60" s="243">
        <v>0</v>
      </c>
      <c r="K60" s="243">
        <v>0</v>
      </c>
      <c r="L60" s="243">
        <v>13.01</v>
      </c>
      <c r="M60" s="243">
        <v>23.05</v>
      </c>
      <c r="N60" s="243">
        <v>36.68</v>
      </c>
      <c r="O60">
        <v>2016</v>
      </c>
      <c r="P60" s="310">
        <f t="shared" si="0"/>
        <v>6</v>
      </c>
      <c r="Q60" s="310"/>
      <c r="R60" s="244">
        <v>42517</v>
      </c>
      <c r="S60" s="240" t="str">
        <f t="shared" si="1"/>
        <v>Jun</v>
      </c>
      <c r="T60" s="230" t="s">
        <v>255</v>
      </c>
    </row>
    <row r="61" spans="1:20" x14ac:dyDescent="0.25">
      <c r="A61" s="243">
        <v>8408015500</v>
      </c>
      <c r="B61" s="240" t="str">
        <f>VLOOKUP(A61,'Energy Provider Accounts'!C:F,2,FALSE)</f>
        <v>Kennel</v>
      </c>
      <c r="C61" s="243" t="s">
        <v>230</v>
      </c>
      <c r="D61" s="244">
        <v>42583</v>
      </c>
      <c r="E61" s="244">
        <v>42553</v>
      </c>
      <c r="F61" s="243">
        <v>30</v>
      </c>
      <c r="G61" s="243" t="s">
        <v>256</v>
      </c>
      <c r="H61" s="243" t="s">
        <v>254</v>
      </c>
      <c r="I61" s="243">
        <v>99</v>
      </c>
      <c r="J61" s="243">
        <v>0</v>
      </c>
      <c r="K61" s="243">
        <v>0</v>
      </c>
      <c r="L61" s="243">
        <v>10.61</v>
      </c>
      <c r="M61" s="243">
        <v>25.35</v>
      </c>
      <c r="N61" s="243">
        <v>36.61</v>
      </c>
      <c r="O61">
        <v>2016</v>
      </c>
      <c r="P61" s="310">
        <f t="shared" si="0"/>
        <v>8</v>
      </c>
      <c r="Q61" s="310"/>
      <c r="R61" s="244">
        <v>42553</v>
      </c>
      <c r="S61" s="240" t="str">
        <f t="shared" si="1"/>
        <v>Aug</v>
      </c>
      <c r="T61" s="230" t="s">
        <v>255</v>
      </c>
    </row>
    <row r="62" spans="1:20" x14ac:dyDescent="0.25">
      <c r="A62" s="243">
        <v>8408015500</v>
      </c>
      <c r="B62" s="240" t="str">
        <f>VLOOKUP(A62,'Energy Provider Accounts'!C:F,2,FALSE)</f>
        <v>Kennel</v>
      </c>
      <c r="C62" s="243" t="s">
        <v>230</v>
      </c>
      <c r="D62" s="244">
        <v>42612</v>
      </c>
      <c r="E62" s="244">
        <v>42582</v>
      </c>
      <c r="F62" s="243">
        <v>30</v>
      </c>
      <c r="G62" s="243" t="s">
        <v>256</v>
      </c>
      <c r="H62" s="243" t="s">
        <v>254</v>
      </c>
      <c r="I62" s="243">
        <v>49</v>
      </c>
      <c r="J62" s="243">
        <v>0</v>
      </c>
      <c r="K62" s="243">
        <v>0</v>
      </c>
      <c r="L62" s="243">
        <v>7.31</v>
      </c>
      <c r="M62" s="243">
        <v>23.68</v>
      </c>
      <c r="N62" s="243">
        <v>31.55</v>
      </c>
      <c r="O62">
        <v>2016</v>
      </c>
      <c r="P62" s="310">
        <f t="shared" si="0"/>
        <v>8</v>
      </c>
      <c r="Q62" s="310"/>
      <c r="R62" s="244">
        <v>42582</v>
      </c>
      <c r="S62" s="240" t="str">
        <f t="shared" si="1"/>
        <v>Aug</v>
      </c>
      <c r="T62" s="230" t="s">
        <v>255</v>
      </c>
    </row>
    <row r="63" spans="1:20" x14ac:dyDescent="0.25">
      <c r="A63" s="243">
        <v>8408015500</v>
      </c>
      <c r="B63" s="240" t="str">
        <f>VLOOKUP(A63,'Energy Provider Accounts'!C:F,2,FALSE)</f>
        <v>Kennel</v>
      </c>
      <c r="C63" s="243" t="s">
        <v>230</v>
      </c>
      <c r="D63" s="244">
        <v>42642</v>
      </c>
      <c r="E63" s="244">
        <v>42612</v>
      </c>
      <c r="F63" s="243">
        <v>30</v>
      </c>
      <c r="G63" s="243" t="s">
        <v>256</v>
      </c>
      <c r="H63" s="243" t="s">
        <v>254</v>
      </c>
      <c r="I63" s="243">
        <v>39</v>
      </c>
      <c r="J63" s="243">
        <v>0</v>
      </c>
      <c r="K63" s="243">
        <v>0</v>
      </c>
      <c r="L63" s="243">
        <v>5.24</v>
      </c>
      <c r="M63" s="243">
        <v>24.03</v>
      </c>
      <c r="N63" s="243">
        <v>29.83</v>
      </c>
      <c r="O63">
        <v>2016</v>
      </c>
      <c r="P63" s="310">
        <f t="shared" si="0"/>
        <v>9</v>
      </c>
      <c r="Q63" s="310"/>
      <c r="R63" s="244">
        <v>42612</v>
      </c>
      <c r="S63" s="240" t="str">
        <f t="shared" si="1"/>
        <v>Sep</v>
      </c>
      <c r="T63" s="230" t="s">
        <v>255</v>
      </c>
    </row>
    <row r="64" spans="1:20" x14ac:dyDescent="0.25">
      <c r="A64" s="243">
        <v>8408015500</v>
      </c>
      <c r="B64" s="240" t="str">
        <f>VLOOKUP(A64,'Energy Provider Accounts'!C:F,2,FALSE)</f>
        <v>Kennel</v>
      </c>
      <c r="C64" s="243" t="s">
        <v>230</v>
      </c>
      <c r="D64" s="244">
        <v>42671</v>
      </c>
      <c r="E64" s="244">
        <v>42641</v>
      </c>
      <c r="F64" s="243">
        <v>30</v>
      </c>
      <c r="G64" s="243" t="s">
        <v>256</v>
      </c>
      <c r="H64" s="243" t="s">
        <v>254</v>
      </c>
      <c r="I64" s="243">
        <v>2</v>
      </c>
      <c r="J64" s="243">
        <v>0</v>
      </c>
      <c r="K64" s="243">
        <v>0</v>
      </c>
      <c r="L64" s="243">
        <v>0.23</v>
      </c>
      <c r="M64" s="243">
        <v>24.02</v>
      </c>
      <c r="N64" s="243">
        <v>24.75</v>
      </c>
      <c r="O64">
        <v>2016</v>
      </c>
      <c r="P64" s="310">
        <f t="shared" si="0"/>
        <v>10</v>
      </c>
      <c r="Q64" s="310"/>
      <c r="R64" s="244">
        <v>42641</v>
      </c>
      <c r="S64" s="240" t="str">
        <f t="shared" si="1"/>
        <v>Oct</v>
      </c>
      <c r="T64" s="230" t="s">
        <v>255</v>
      </c>
    </row>
    <row r="65" spans="1:20" x14ac:dyDescent="0.25">
      <c r="A65" s="243">
        <v>8408015500</v>
      </c>
      <c r="B65" s="240" t="str">
        <f>VLOOKUP(A65,'Energy Provider Accounts'!C:F,2,FALSE)</f>
        <v>Kennel</v>
      </c>
      <c r="C65" s="243" t="s">
        <v>230</v>
      </c>
      <c r="D65" s="244">
        <v>42704</v>
      </c>
      <c r="E65" s="244">
        <v>42674</v>
      </c>
      <c r="F65" s="243">
        <v>30</v>
      </c>
      <c r="G65" s="243" t="s">
        <v>253</v>
      </c>
      <c r="H65" s="243" t="s">
        <v>254</v>
      </c>
      <c r="I65" s="243">
        <v>541</v>
      </c>
      <c r="J65" s="243">
        <v>0</v>
      </c>
      <c r="K65" s="243">
        <v>0</v>
      </c>
      <c r="L65" s="243">
        <v>74.56</v>
      </c>
      <c r="M65" s="243">
        <v>23.53</v>
      </c>
      <c r="N65" s="243">
        <v>99.42</v>
      </c>
      <c r="O65">
        <v>2016</v>
      </c>
      <c r="P65" s="310">
        <f t="shared" si="0"/>
        <v>11</v>
      </c>
      <c r="Q65" s="310"/>
      <c r="R65" s="244">
        <v>42674</v>
      </c>
      <c r="S65" s="240" t="str">
        <f t="shared" si="1"/>
        <v>Nov</v>
      </c>
      <c r="T65" s="230" t="s">
        <v>255</v>
      </c>
    </row>
    <row r="66" spans="1:20" x14ac:dyDescent="0.25">
      <c r="A66" s="243">
        <v>8408015500</v>
      </c>
      <c r="B66" s="240" t="str">
        <f>VLOOKUP(A66,'Energy Provider Accounts'!C:F,2,FALSE)</f>
        <v>Kennel</v>
      </c>
      <c r="C66" s="243" t="s">
        <v>230</v>
      </c>
      <c r="D66" s="244">
        <v>42738</v>
      </c>
      <c r="E66" s="244">
        <v>42708</v>
      </c>
      <c r="F66" s="243">
        <v>30</v>
      </c>
      <c r="G66" s="243" t="s">
        <v>256</v>
      </c>
      <c r="H66" s="243" t="s">
        <v>254</v>
      </c>
      <c r="I66" s="243">
        <v>103</v>
      </c>
      <c r="J66" s="243">
        <v>0</v>
      </c>
      <c r="K66" s="243">
        <v>0</v>
      </c>
      <c r="L66" s="243">
        <v>11.68</v>
      </c>
      <c r="M66" s="243">
        <v>25.12</v>
      </c>
      <c r="N66" s="243">
        <v>37.46</v>
      </c>
      <c r="O66">
        <v>2017</v>
      </c>
      <c r="P66" s="310">
        <f t="shared" si="0"/>
        <v>1</v>
      </c>
      <c r="Q66" s="310"/>
      <c r="R66" s="244">
        <v>42708</v>
      </c>
      <c r="S66" s="240" t="str">
        <f t="shared" si="1"/>
        <v>Jan</v>
      </c>
      <c r="T66" s="230" t="s">
        <v>255</v>
      </c>
    </row>
    <row r="67" spans="1:20" x14ac:dyDescent="0.25">
      <c r="A67" s="243">
        <v>8408015500</v>
      </c>
      <c r="B67" s="240" t="str">
        <f>VLOOKUP(A67,'Energy Provider Accounts'!C:F,2,FALSE)</f>
        <v>Kennel</v>
      </c>
      <c r="C67" s="243" t="s">
        <v>230</v>
      </c>
      <c r="D67" s="244">
        <v>42767</v>
      </c>
      <c r="E67" s="244">
        <v>42737</v>
      </c>
      <c r="F67" s="243">
        <v>30</v>
      </c>
      <c r="G67" s="243" t="s">
        <v>256</v>
      </c>
      <c r="H67" s="243" t="s">
        <v>254</v>
      </c>
      <c r="I67" s="243">
        <v>90</v>
      </c>
      <c r="J67" s="243">
        <v>0</v>
      </c>
      <c r="K67" s="243">
        <v>0</v>
      </c>
      <c r="L67" s="243">
        <v>12.2</v>
      </c>
      <c r="M67" s="243">
        <v>22.45</v>
      </c>
      <c r="N67" s="243">
        <v>35.270000000000003</v>
      </c>
      <c r="O67">
        <v>2017</v>
      </c>
      <c r="P67" s="310">
        <f t="shared" si="0"/>
        <v>2</v>
      </c>
      <c r="Q67" s="310"/>
      <c r="R67" s="244">
        <v>42737</v>
      </c>
      <c r="S67" s="240" t="str">
        <f t="shared" si="1"/>
        <v>Feb</v>
      </c>
      <c r="T67" s="230" t="s">
        <v>252</v>
      </c>
    </row>
    <row r="68" spans="1:20" x14ac:dyDescent="0.25">
      <c r="A68" s="243">
        <v>8408015500</v>
      </c>
      <c r="B68" s="240" t="str">
        <f>VLOOKUP(A68,'Energy Provider Accounts'!C:F,2,FALSE)</f>
        <v>Kennel</v>
      </c>
      <c r="C68" s="243" t="s">
        <v>230</v>
      </c>
      <c r="D68" s="244">
        <v>42796</v>
      </c>
      <c r="E68" s="244">
        <v>42766</v>
      </c>
      <c r="F68" s="243">
        <v>30</v>
      </c>
      <c r="G68" s="243" t="s">
        <v>256</v>
      </c>
      <c r="H68" s="243" t="s">
        <v>254</v>
      </c>
      <c r="I68" s="243">
        <v>17</v>
      </c>
      <c r="J68" s="243">
        <v>0</v>
      </c>
      <c r="K68" s="243">
        <v>0</v>
      </c>
      <c r="L68" s="243">
        <v>2.48</v>
      </c>
      <c r="M68" s="243">
        <v>23.61</v>
      </c>
      <c r="N68" s="243">
        <v>26.61</v>
      </c>
      <c r="O68">
        <v>2017</v>
      </c>
      <c r="P68" s="310">
        <f t="shared" si="0"/>
        <v>3</v>
      </c>
      <c r="Q68" s="310"/>
      <c r="R68" s="244">
        <v>42766</v>
      </c>
      <c r="S68" s="240" t="str">
        <f t="shared" si="1"/>
        <v>Mar</v>
      </c>
      <c r="T68" s="230" t="s">
        <v>252</v>
      </c>
    </row>
    <row r="69" spans="1:20" x14ac:dyDescent="0.25">
      <c r="A69" s="243">
        <v>8408015500</v>
      </c>
      <c r="B69" s="240" t="str">
        <f>VLOOKUP(A69,'Energy Provider Accounts'!C:F,2,FALSE)</f>
        <v>Kennel</v>
      </c>
      <c r="C69" s="243" t="s">
        <v>230</v>
      </c>
      <c r="D69" s="244">
        <v>42825</v>
      </c>
      <c r="E69" s="244">
        <v>42795</v>
      </c>
      <c r="F69" s="243">
        <v>30</v>
      </c>
      <c r="G69" s="243" t="s">
        <v>256</v>
      </c>
      <c r="H69" s="243" t="s">
        <v>254</v>
      </c>
      <c r="I69" s="243">
        <v>18</v>
      </c>
      <c r="J69" s="243">
        <v>0</v>
      </c>
      <c r="K69" s="243">
        <v>0</v>
      </c>
      <c r="L69" s="243">
        <v>2.0499999999999998</v>
      </c>
      <c r="M69" s="243">
        <v>23.89</v>
      </c>
      <c r="N69" s="243">
        <v>26.46</v>
      </c>
      <c r="O69">
        <v>2017</v>
      </c>
      <c r="P69" s="310">
        <f t="shared" si="0"/>
        <v>3</v>
      </c>
      <c r="Q69" s="310"/>
      <c r="R69" s="244">
        <v>42795</v>
      </c>
      <c r="S69" s="240" t="str">
        <f t="shared" si="1"/>
        <v>Mar</v>
      </c>
      <c r="T69" s="230" t="s">
        <v>252</v>
      </c>
    </row>
    <row r="70" spans="1:20" x14ac:dyDescent="0.25">
      <c r="A70" s="243">
        <v>8408015500</v>
      </c>
      <c r="B70" s="240" t="str">
        <f>VLOOKUP(A70,'Energy Provider Accounts'!C:F,2,FALSE)</f>
        <v>Kennel</v>
      </c>
      <c r="C70" s="243" t="s">
        <v>230</v>
      </c>
      <c r="D70" s="244">
        <v>42856</v>
      </c>
      <c r="E70" s="244">
        <v>42826</v>
      </c>
      <c r="F70" s="243">
        <v>30</v>
      </c>
      <c r="G70" s="243" t="s">
        <v>256</v>
      </c>
      <c r="H70" s="243" t="s">
        <v>254</v>
      </c>
      <c r="I70" s="243">
        <v>1</v>
      </c>
      <c r="J70" s="243">
        <v>0</v>
      </c>
      <c r="K70" s="243">
        <v>0</v>
      </c>
      <c r="L70" s="243">
        <v>0.17</v>
      </c>
      <c r="M70" s="243">
        <v>23.97</v>
      </c>
      <c r="N70" s="243">
        <v>24.63</v>
      </c>
      <c r="O70">
        <v>2017</v>
      </c>
      <c r="P70" s="310">
        <f t="shared" si="0"/>
        <v>5</v>
      </c>
      <c r="Q70" s="310"/>
      <c r="R70" s="244">
        <v>42826</v>
      </c>
      <c r="S70" s="240" t="str">
        <f t="shared" si="1"/>
        <v>May</v>
      </c>
      <c r="T70" s="230" t="s">
        <v>252</v>
      </c>
    </row>
    <row r="71" spans="1:20" x14ac:dyDescent="0.25">
      <c r="A71" s="243">
        <v>8408015500</v>
      </c>
      <c r="B71" s="240" t="str">
        <f>VLOOKUP(A71,'Energy Provider Accounts'!C:F,2,FALSE)</f>
        <v>Kennel</v>
      </c>
      <c r="C71" s="243" t="s">
        <v>230</v>
      </c>
      <c r="D71" s="244">
        <v>42886</v>
      </c>
      <c r="E71" s="244">
        <v>42856</v>
      </c>
      <c r="F71" s="243">
        <v>30</v>
      </c>
      <c r="G71" s="243" t="s">
        <v>256</v>
      </c>
      <c r="H71" s="243" t="s">
        <v>254</v>
      </c>
      <c r="I71" s="243">
        <v>1</v>
      </c>
      <c r="J71" s="243">
        <v>0</v>
      </c>
      <c r="K71" s="243">
        <v>0</v>
      </c>
      <c r="L71" s="243">
        <v>0.17</v>
      </c>
      <c r="M71" s="243">
        <v>23.97</v>
      </c>
      <c r="N71" s="243">
        <v>24.64</v>
      </c>
      <c r="O71">
        <v>2017</v>
      </c>
      <c r="P71" s="310">
        <f t="shared" si="0"/>
        <v>5</v>
      </c>
      <c r="Q71" s="310"/>
      <c r="R71" s="244">
        <v>42856</v>
      </c>
      <c r="S71" s="240" t="str">
        <f t="shared" si="1"/>
        <v>May</v>
      </c>
      <c r="T71" s="232" t="s">
        <v>252</v>
      </c>
    </row>
    <row r="72" spans="1:20" x14ac:dyDescent="0.25">
      <c r="A72" s="243">
        <v>8408015500</v>
      </c>
      <c r="B72" s="240" t="str">
        <f>VLOOKUP(A72,'Energy Provider Accounts'!C:F,2,FALSE)</f>
        <v>Kennel</v>
      </c>
      <c r="C72" s="243" t="s">
        <v>230</v>
      </c>
      <c r="D72" s="244">
        <v>42915</v>
      </c>
      <c r="E72" s="244">
        <v>42885</v>
      </c>
      <c r="F72" s="243">
        <v>30</v>
      </c>
      <c r="G72" s="243" t="s">
        <v>256</v>
      </c>
      <c r="H72" s="243" t="s">
        <v>254</v>
      </c>
      <c r="I72" s="243">
        <v>37</v>
      </c>
      <c r="J72" s="243">
        <v>0</v>
      </c>
      <c r="K72" s="243">
        <v>0</v>
      </c>
      <c r="L72" s="243">
        <v>4.53</v>
      </c>
      <c r="M72" s="243">
        <v>23.63</v>
      </c>
      <c r="N72" s="243">
        <v>28.71</v>
      </c>
      <c r="O72">
        <v>2017</v>
      </c>
      <c r="P72" s="310">
        <f t="shared" si="0"/>
        <v>6</v>
      </c>
      <c r="Q72" s="310"/>
      <c r="R72" s="244">
        <v>42885</v>
      </c>
      <c r="S72" s="240" t="str">
        <f t="shared" si="1"/>
        <v>Jun</v>
      </c>
      <c r="T72" s="230" t="s">
        <v>252</v>
      </c>
    </row>
    <row r="73" spans="1:20" x14ac:dyDescent="0.25">
      <c r="A73" s="243">
        <v>8408015500</v>
      </c>
      <c r="B73" s="240" t="str">
        <f>VLOOKUP(A73,'Energy Provider Accounts'!C:F,2,FALSE)</f>
        <v>Kennel</v>
      </c>
      <c r="C73" s="243" t="s">
        <v>230</v>
      </c>
      <c r="D73" s="244">
        <v>42944</v>
      </c>
      <c r="E73" s="244">
        <v>42914</v>
      </c>
      <c r="F73" s="243">
        <v>30</v>
      </c>
      <c r="G73" s="243" t="s">
        <v>253</v>
      </c>
      <c r="H73" s="243" t="s">
        <v>254</v>
      </c>
      <c r="I73" s="243">
        <v>54</v>
      </c>
      <c r="J73" s="243">
        <v>0</v>
      </c>
      <c r="K73" s="243">
        <v>0</v>
      </c>
      <c r="L73" s="243">
        <v>7.39</v>
      </c>
      <c r="M73" s="243">
        <v>24.23</v>
      </c>
      <c r="N73" s="243">
        <v>32.22</v>
      </c>
      <c r="O73">
        <v>2017</v>
      </c>
      <c r="P73" s="310">
        <f t="shared" si="0"/>
        <v>7</v>
      </c>
      <c r="Q73" s="310"/>
      <c r="R73" s="244">
        <v>42914</v>
      </c>
      <c r="S73" s="240" t="str">
        <f t="shared" si="1"/>
        <v>Jul</v>
      </c>
      <c r="T73" s="230" t="s">
        <v>255</v>
      </c>
    </row>
    <row r="74" spans="1:20" x14ac:dyDescent="0.25">
      <c r="A74" s="243">
        <v>8408015500</v>
      </c>
      <c r="B74" s="240" t="str">
        <f>VLOOKUP(A74,'Energy Provider Accounts'!C:F,2,FALSE)</f>
        <v>Kennel</v>
      </c>
      <c r="C74" s="243" t="s">
        <v>230</v>
      </c>
      <c r="D74" s="244">
        <v>42976</v>
      </c>
      <c r="E74" s="244">
        <v>42946</v>
      </c>
      <c r="F74" s="243">
        <v>30</v>
      </c>
      <c r="G74" s="243" t="s">
        <v>256</v>
      </c>
      <c r="H74" s="243" t="s">
        <v>254</v>
      </c>
      <c r="I74" s="243">
        <v>96</v>
      </c>
      <c r="J74" s="243">
        <v>0</v>
      </c>
      <c r="K74" s="243">
        <v>0</v>
      </c>
      <c r="L74" s="243">
        <v>13.57</v>
      </c>
      <c r="M74" s="243">
        <v>24.34</v>
      </c>
      <c r="N74" s="243">
        <v>38.57</v>
      </c>
      <c r="O74">
        <v>2017</v>
      </c>
      <c r="P74" s="310">
        <f t="shared" si="0"/>
        <v>8</v>
      </c>
      <c r="Q74" s="310"/>
      <c r="R74" s="244">
        <v>42946</v>
      </c>
      <c r="S74" s="240" t="str">
        <f t="shared" si="1"/>
        <v>Aug</v>
      </c>
      <c r="T74" s="230" t="s">
        <v>255</v>
      </c>
    </row>
    <row r="75" spans="1:20" x14ac:dyDescent="0.25">
      <c r="A75" s="243">
        <v>8408015500</v>
      </c>
      <c r="B75" s="240" t="str">
        <f>VLOOKUP(A75,'Energy Provider Accounts'!C:F,2,FALSE)</f>
        <v>Kennel</v>
      </c>
      <c r="C75" s="243" t="s">
        <v>230</v>
      </c>
      <c r="D75" s="244">
        <v>43007</v>
      </c>
      <c r="E75" s="244">
        <v>42977</v>
      </c>
      <c r="F75" s="243">
        <v>30</v>
      </c>
      <c r="G75" s="243" t="s">
        <v>253</v>
      </c>
      <c r="H75" s="243" t="s">
        <v>254</v>
      </c>
      <c r="I75" s="243">
        <v>52</v>
      </c>
      <c r="J75" s="243">
        <v>0</v>
      </c>
      <c r="K75" s="243">
        <v>0</v>
      </c>
      <c r="L75" s="243">
        <v>5.86</v>
      </c>
      <c r="M75" s="243">
        <v>24.95</v>
      </c>
      <c r="N75" s="243">
        <v>31.4</v>
      </c>
      <c r="O75">
        <v>2017</v>
      </c>
      <c r="P75" s="310">
        <f t="shared" si="0"/>
        <v>9</v>
      </c>
      <c r="Q75" s="310"/>
      <c r="R75" s="244">
        <v>42977</v>
      </c>
      <c r="S75" s="240" t="str">
        <f t="shared" si="1"/>
        <v>Sep</v>
      </c>
      <c r="T75" s="230" t="s">
        <v>255</v>
      </c>
    </row>
    <row r="76" spans="1:20" x14ac:dyDescent="0.25">
      <c r="A76" s="243">
        <v>8408015500</v>
      </c>
      <c r="B76" s="240" t="str">
        <f>VLOOKUP(A76,'Energy Provider Accounts'!C:F,2,FALSE)</f>
        <v>Kennel</v>
      </c>
      <c r="C76" s="243" t="s">
        <v>230</v>
      </c>
      <c r="D76" s="244">
        <v>43035</v>
      </c>
      <c r="E76" s="244">
        <v>43005</v>
      </c>
      <c r="F76" s="243">
        <v>30</v>
      </c>
      <c r="G76" s="243" t="s">
        <v>256</v>
      </c>
      <c r="H76" s="243" t="s">
        <v>254</v>
      </c>
      <c r="I76" s="243">
        <v>84</v>
      </c>
      <c r="J76" s="243">
        <v>0</v>
      </c>
      <c r="K76" s="243">
        <v>0</v>
      </c>
      <c r="L76" s="243">
        <v>10.15</v>
      </c>
      <c r="M76" s="243">
        <v>25.21</v>
      </c>
      <c r="N76" s="243">
        <v>36.01</v>
      </c>
      <c r="O76">
        <v>2017</v>
      </c>
      <c r="P76" s="310">
        <f t="shared" si="0"/>
        <v>10</v>
      </c>
      <c r="Q76" s="310"/>
      <c r="R76" s="244">
        <v>43005</v>
      </c>
      <c r="S76" s="240" t="str">
        <f t="shared" si="1"/>
        <v>Oct</v>
      </c>
      <c r="T76" s="230" t="s">
        <v>255</v>
      </c>
    </row>
    <row r="77" spans="1:20" x14ac:dyDescent="0.25">
      <c r="A77" s="243">
        <v>8408015500</v>
      </c>
      <c r="B77" s="240" t="str">
        <f>VLOOKUP(A77,'Energy Provider Accounts'!C:F,2,FALSE)</f>
        <v>Kennel</v>
      </c>
      <c r="C77" s="243" t="s">
        <v>230</v>
      </c>
      <c r="D77" s="244">
        <v>43069</v>
      </c>
      <c r="E77" s="244">
        <v>43009</v>
      </c>
      <c r="F77" s="243">
        <v>60</v>
      </c>
      <c r="G77" s="243" t="s">
        <v>253</v>
      </c>
      <c r="H77" s="243" t="s">
        <v>254</v>
      </c>
      <c r="I77" s="243">
        <v>43</v>
      </c>
      <c r="J77" s="243">
        <v>0</v>
      </c>
      <c r="K77" s="243">
        <v>0</v>
      </c>
      <c r="L77" s="243">
        <v>5.53</v>
      </c>
      <c r="M77" s="243">
        <v>48.46</v>
      </c>
      <c r="N77" s="243">
        <v>55.06</v>
      </c>
      <c r="O77">
        <v>2017</v>
      </c>
      <c r="P77" s="310">
        <f t="shared" si="0"/>
        <v>11</v>
      </c>
      <c r="Q77" s="310"/>
      <c r="R77" s="244">
        <v>43009</v>
      </c>
      <c r="S77" s="240" t="str">
        <f t="shared" si="1"/>
        <v>Nov</v>
      </c>
      <c r="T77" s="230" t="s">
        <v>255</v>
      </c>
    </row>
    <row r="78" spans="1:20" x14ac:dyDescent="0.25">
      <c r="A78" s="243">
        <v>8408015500</v>
      </c>
      <c r="B78" s="240" t="str">
        <f>VLOOKUP(A78,'Energy Provider Accounts'!C:F,2,FALSE)</f>
        <v>Kennel</v>
      </c>
      <c r="C78" s="243" t="s">
        <v>230</v>
      </c>
      <c r="D78" s="244">
        <v>43102</v>
      </c>
      <c r="E78" s="244">
        <v>43069</v>
      </c>
      <c r="F78" s="243">
        <v>34</v>
      </c>
      <c r="G78" s="243" t="s">
        <v>263</v>
      </c>
      <c r="H78" s="243" t="s">
        <v>254</v>
      </c>
      <c r="I78" s="243">
        <v>52</v>
      </c>
      <c r="J78" s="243">
        <v>0</v>
      </c>
      <c r="K78" s="243">
        <v>0</v>
      </c>
      <c r="L78" s="243">
        <v>3.25</v>
      </c>
      <c r="M78" s="243">
        <v>27.87</v>
      </c>
      <c r="N78" s="243">
        <v>31.72</v>
      </c>
      <c r="O78" s="318">
        <v>2018</v>
      </c>
      <c r="P78" s="310">
        <f t="shared" si="0"/>
        <v>1</v>
      </c>
      <c r="Q78" s="310"/>
      <c r="R78" s="244">
        <v>43102</v>
      </c>
      <c r="S78" s="261" t="str">
        <f t="shared" si="1"/>
        <v>Jan</v>
      </c>
      <c r="T78" s="230" t="s">
        <v>252</v>
      </c>
    </row>
    <row r="79" spans="1:20" x14ac:dyDescent="0.25">
      <c r="A79" s="243">
        <v>8408015500</v>
      </c>
      <c r="B79" s="240" t="str">
        <f>VLOOKUP(A79,'Energy Provider Accounts'!C:F,2,FALSE)</f>
        <v>Kennel</v>
      </c>
      <c r="C79" s="243" t="s">
        <v>230</v>
      </c>
      <c r="D79" s="244">
        <v>43131</v>
      </c>
      <c r="E79" s="244">
        <v>43102</v>
      </c>
      <c r="F79" s="243">
        <v>30</v>
      </c>
      <c r="G79" s="243" t="s">
        <v>263</v>
      </c>
      <c r="H79" s="243" t="s">
        <v>254</v>
      </c>
      <c r="I79" s="243">
        <v>278</v>
      </c>
      <c r="J79" s="243">
        <v>0</v>
      </c>
      <c r="K79" s="243">
        <v>0</v>
      </c>
      <c r="L79" s="243">
        <v>22.35</v>
      </c>
      <c r="M79" s="243">
        <v>44.72</v>
      </c>
      <c r="N79" s="243">
        <v>67.069999999999993</v>
      </c>
      <c r="O79" s="318">
        <v>2018</v>
      </c>
      <c r="P79" s="310">
        <f t="shared" si="0"/>
        <v>1</v>
      </c>
      <c r="Q79" s="310"/>
      <c r="R79" s="244">
        <v>43131</v>
      </c>
      <c r="S79" s="261" t="str">
        <f t="shared" si="1"/>
        <v>Jan</v>
      </c>
      <c r="T79" s="230" t="s">
        <v>252</v>
      </c>
    </row>
    <row r="80" spans="1:20" x14ac:dyDescent="0.25">
      <c r="A80" s="243">
        <v>8408015500</v>
      </c>
      <c r="B80" s="240" t="str">
        <f>VLOOKUP(A80,'Energy Provider Accounts'!C:F,2,FALSE)</f>
        <v>Kennel</v>
      </c>
      <c r="C80" s="243" t="s">
        <v>230</v>
      </c>
      <c r="D80" s="244">
        <v>43160</v>
      </c>
      <c r="E80" s="244">
        <v>43131</v>
      </c>
      <c r="F80" s="243">
        <v>29</v>
      </c>
      <c r="G80" s="243" t="s">
        <v>256</v>
      </c>
      <c r="H80" s="243" t="s">
        <v>254</v>
      </c>
      <c r="I80" s="243" t="s">
        <v>264</v>
      </c>
      <c r="J80" s="243">
        <v>0</v>
      </c>
      <c r="K80" s="243">
        <v>0</v>
      </c>
      <c r="L80" s="243" t="s">
        <v>264</v>
      </c>
      <c r="M80" s="243" t="s">
        <v>264</v>
      </c>
      <c r="N80" s="243" t="s">
        <v>264</v>
      </c>
      <c r="O80" s="318">
        <v>2018</v>
      </c>
      <c r="P80" s="310">
        <f t="shared" si="0"/>
        <v>3</v>
      </c>
      <c r="Q80" s="310"/>
      <c r="R80" s="244">
        <v>43160</v>
      </c>
      <c r="S80" s="261" t="str">
        <f t="shared" si="1"/>
        <v>Mar</v>
      </c>
      <c r="T80" s="230" t="s">
        <v>252</v>
      </c>
    </row>
    <row r="81" spans="1:20" x14ac:dyDescent="0.25">
      <c r="A81" s="243">
        <v>8408015500</v>
      </c>
      <c r="B81" s="240" t="str">
        <f>VLOOKUP(A81,'Energy Provider Accounts'!C:F,2,FALSE)</f>
        <v>Kennel</v>
      </c>
      <c r="C81" s="243" t="s">
        <v>230</v>
      </c>
      <c r="D81" s="244">
        <v>43192</v>
      </c>
      <c r="E81" s="244">
        <v>43190</v>
      </c>
      <c r="F81" s="243">
        <v>30</v>
      </c>
      <c r="G81" s="243" t="s">
        <v>256</v>
      </c>
      <c r="H81" s="243" t="s">
        <v>254</v>
      </c>
      <c r="I81" s="243" t="s">
        <v>264</v>
      </c>
      <c r="J81" s="243">
        <v>0</v>
      </c>
      <c r="K81" s="243">
        <v>0</v>
      </c>
      <c r="L81" s="243" t="s">
        <v>264</v>
      </c>
      <c r="M81" s="243" t="s">
        <v>264</v>
      </c>
      <c r="N81" s="243" t="s">
        <v>264</v>
      </c>
      <c r="O81" s="318">
        <v>2018</v>
      </c>
      <c r="P81" s="310">
        <f t="shared" si="0"/>
        <v>4</v>
      </c>
      <c r="Q81" s="310"/>
      <c r="R81" s="244">
        <v>43192</v>
      </c>
      <c r="S81" s="261" t="str">
        <f t="shared" si="1"/>
        <v>Apr</v>
      </c>
      <c r="T81" s="230" t="s">
        <v>252</v>
      </c>
    </row>
    <row r="82" spans="1:20" x14ac:dyDescent="0.25">
      <c r="A82" s="243">
        <v>8408015500</v>
      </c>
      <c r="B82" s="240" t="str">
        <f>VLOOKUP(A82,'Energy Provider Accounts'!C:F,2,FALSE)</f>
        <v>Kennel</v>
      </c>
      <c r="C82" s="243" t="s">
        <v>230</v>
      </c>
      <c r="D82" s="244">
        <v>43221</v>
      </c>
      <c r="E82" s="244">
        <v>43192</v>
      </c>
      <c r="F82" s="243">
        <v>31</v>
      </c>
      <c r="G82" s="243" t="s">
        <v>256</v>
      </c>
      <c r="H82" s="243" t="s">
        <v>254</v>
      </c>
      <c r="I82" s="243" t="s">
        <v>264</v>
      </c>
      <c r="J82" s="243">
        <v>0</v>
      </c>
      <c r="K82" s="243">
        <v>0</v>
      </c>
      <c r="L82" s="243" t="s">
        <v>264</v>
      </c>
      <c r="M82" s="243" t="s">
        <v>264</v>
      </c>
      <c r="N82" s="243" t="s">
        <v>264</v>
      </c>
      <c r="O82" s="318">
        <v>2018</v>
      </c>
      <c r="P82" s="310">
        <f t="shared" si="0"/>
        <v>5</v>
      </c>
      <c r="Q82" s="310"/>
      <c r="R82" s="244">
        <v>43221</v>
      </c>
      <c r="S82" s="261" t="str">
        <f t="shared" si="1"/>
        <v>May</v>
      </c>
      <c r="T82" s="230" t="s">
        <v>252</v>
      </c>
    </row>
    <row r="83" spans="1:20" x14ac:dyDescent="0.25">
      <c r="A83" s="243">
        <v>8408015500</v>
      </c>
      <c r="B83" s="240" t="str">
        <f>VLOOKUP(A83,'Energy Provider Accounts'!C:F,2,FALSE)</f>
        <v>Kennel</v>
      </c>
      <c r="C83" s="243" t="s">
        <v>230</v>
      </c>
      <c r="D83" s="244">
        <v>43252</v>
      </c>
      <c r="E83" s="244">
        <v>43131</v>
      </c>
      <c r="F83" s="243">
        <v>120</v>
      </c>
      <c r="G83" s="243" t="s">
        <v>263</v>
      </c>
      <c r="H83" s="243" t="s">
        <v>254</v>
      </c>
      <c r="I83" s="243">
        <v>66</v>
      </c>
      <c r="J83" s="243">
        <v>0</v>
      </c>
      <c r="K83" s="243">
        <v>0</v>
      </c>
      <c r="L83" s="243">
        <v>7.24</v>
      </c>
      <c r="M83" s="243">
        <v>100.98</v>
      </c>
      <c r="N83" s="243">
        <v>108.22</v>
      </c>
      <c r="O83" s="318">
        <v>2018</v>
      </c>
      <c r="P83" s="310">
        <v>5</v>
      </c>
      <c r="Q83" s="310"/>
      <c r="R83" s="244">
        <v>43131</v>
      </c>
      <c r="S83" s="261" t="str">
        <f t="shared" si="1"/>
        <v>May</v>
      </c>
      <c r="T83" s="230" t="s">
        <v>252</v>
      </c>
    </row>
    <row r="84" spans="1:20" x14ac:dyDescent="0.25">
      <c r="A84" s="243">
        <v>8408015500</v>
      </c>
      <c r="B84" s="240" t="str">
        <f>VLOOKUP(A84,'Energy Provider Accounts'!C:F,2,FALSE)</f>
        <v>Kennel</v>
      </c>
      <c r="C84" s="243" t="s">
        <v>230</v>
      </c>
      <c r="D84" s="244">
        <v>43280</v>
      </c>
      <c r="E84" s="244">
        <v>43252</v>
      </c>
      <c r="F84" s="243">
        <v>29</v>
      </c>
      <c r="G84" s="243" t="s">
        <v>256</v>
      </c>
      <c r="H84" s="243" t="s">
        <v>254</v>
      </c>
      <c r="I84" s="243">
        <v>15</v>
      </c>
      <c r="J84" s="243"/>
      <c r="K84" s="243"/>
      <c r="L84" s="243">
        <v>1.64</v>
      </c>
      <c r="M84" s="243">
        <v>25.07</v>
      </c>
      <c r="N84" s="243">
        <v>26.71</v>
      </c>
      <c r="O84" s="318">
        <v>2018</v>
      </c>
      <c r="P84" s="310">
        <v>6</v>
      </c>
      <c r="Q84" s="310"/>
      <c r="R84" s="244">
        <v>43252</v>
      </c>
      <c r="S84" s="261" t="str">
        <f t="shared" si="1"/>
        <v>Jun</v>
      </c>
      <c r="T84" s="230" t="s">
        <v>252</v>
      </c>
    </row>
    <row r="85" spans="1:20" x14ac:dyDescent="0.25">
      <c r="A85" s="243">
        <v>8408015500</v>
      </c>
      <c r="B85" s="240" t="str">
        <f>VLOOKUP(A85,'Energy Provider Accounts'!C:F,2,FALSE)</f>
        <v>Kennel</v>
      </c>
      <c r="C85" s="243" t="s">
        <v>230</v>
      </c>
      <c r="D85" s="244">
        <v>43313</v>
      </c>
      <c r="E85" s="244">
        <v>43280</v>
      </c>
      <c r="F85" s="243">
        <v>33</v>
      </c>
      <c r="G85" s="243" t="s">
        <v>263</v>
      </c>
      <c r="H85" s="243" t="s">
        <v>254</v>
      </c>
      <c r="I85" s="243">
        <v>65</v>
      </c>
      <c r="J85" s="243"/>
      <c r="K85" s="243"/>
      <c r="L85" s="243">
        <v>4.46</v>
      </c>
      <c r="M85" s="243">
        <v>26.33</v>
      </c>
      <c r="N85" s="243">
        <v>26.33</v>
      </c>
      <c r="O85" s="318">
        <v>2018</v>
      </c>
      <c r="P85" s="310">
        <v>7</v>
      </c>
      <c r="Q85" s="310"/>
      <c r="R85" s="244">
        <v>43280</v>
      </c>
      <c r="S85" s="240" t="s">
        <v>267</v>
      </c>
      <c r="T85" s="230" t="s">
        <v>252</v>
      </c>
    </row>
    <row r="86" spans="1:20" x14ac:dyDescent="0.25">
      <c r="A86" s="243">
        <v>8408015500</v>
      </c>
      <c r="B86" s="240" t="str">
        <f>VLOOKUP(A86,'Energy Provider Accounts'!C:F,2,FALSE)</f>
        <v>Kennel</v>
      </c>
      <c r="C86" s="243" t="s">
        <v>230</v>
      </c>
      <c r="D86" s="244">
        <v>43341</v>
      </c>
      <c r="E86" s="244">
        <v>43313</v>
      </c>
      <c r="F86" s="243">
        <v>30</v>
      </c>
      <c r="G86" s="243" t="s">
        <v>256</v>
      </c>
      <c r="H86" s="243" t="s">
        <v>254</v>
      </c>
      <c r="I86" s="243">
        <v>69</v>
      </c>
      <c r="J86" s="243"/>
      <c r="K86" s="243"/>
      <c r="L86" s="243">
        <v>5.91</v>
      </c>
      <c r="M86" s="243">
        <v>26.61</v>
      </c>
      <c r="N86" s="243">
        <v>32.520000000000003</v>
      </c>
      <c r="O86" s="318">
        <v>2018</v>
      </c>
      <c r="P86" s="310">
        <v>8</v>
      </c>
      <c r="Q86" s="310"/>
      <c r="R86" s="244">
        <v>43313</v>
      </c>
      <c r="S86" s="240" t="s">
        <v>88</v>
      </c>
      <c r="T86" s="230" t="s">
        <v>252</v>
      </c>
    </row>
    <row r="87" spans="1:20" x14ac:dyDescent="0.25">
      <c r="A87" s="243">
        <v>8408015500</v>
      </c>
      <c r="B87" s="240" t="str">
        <f>VLOOKUP(A87,'Energy Provider Accounts'!C:F,2,FALSE)</f>
        <v>Kennel</v>
      </c>
      <c r="C87" s="243" t="s">
        <v>230</v>
      </c>
      <c r="D87" s="244">
        <v>43371</v>
      </c>
      <c r="E87" s="244">
        <v>43341</v>
      </c>
      <c r="F87" s="243">
        <v>30</v>
      </c>
      <c r="G87" s="243" t="s">
        <v>263</v>
      </c>
      <c r="H87" s="243" t="s">
        <v>254</v>
      </c>
      <c r="I87" s="243">
        <v>164</v>
      </c>
      <c r="J87" s="243"/>
      <c r="K87" s="243"/>
      <c r="L87" s="243">
        <v>15.21</v>
      </c>
      <c r="M87" s="243">
        <v>33.93</v>
      </c>
      <c r="N87" s="243">
        <v>49.14</v>
      </c>
      <c r="O87" s="318">
        <v>2018</v>
      </c>
      <c r="P87" s="310">
        <v>9</v>
      </c>
      <c r="Q87" s="310"/>
      <c r="R87" s="244">
        <v>43341</v>
      </c>
      <c r="S87" s="240" t="s">
        <v>268</v>
      </c>
      <c r="T87" s="230" t="s">
        <v>252</v>
      </c>
    </row>
    <row r="88" spans="1:20" ht="0.4" customHeight="1" x14ac:dyDescent="0.25">
      <c r="A88" s="243"/>
      <c r="B88" s="240"/>
      <c r="C88" s="243"/>
      <c r="D88" s="244"/>
      <c r="E88" s="244"/>
      <c r="F88" s="243"/>
      <c r="G88" s="243"/>
      <c r="H88" s="243"/>
      <c r="I88" s="243"/>
      <c r="J88" s="243"/>
      <c r="K88" s="243"/>
      <c r="L88" s="243"/>
      <c r="M88" s="243"/>
      <c r="N88" s="243"/>
      <c r="O88" s="318"/>
      <c r="P88" s="310"/>
      <c r="Q88" s="310"/>
      <c r="R88" s="244"/>
      <c r="S88" s="240"/>
    </row>
    <row r="89" spans="1:20" x14ac:dyDescent="0.25">
      <c r="A89" s="243">
        <v>8408015500</v>
      </c>
      <c r="B89" s="240" t="str">
        <f>VLOOKUP(A89,'Energy Provider Accounts'!C:F,2,FALSE)</f>
        <v>Kennel</v>
      </c>
      <c r="C89" s="243" t="s">
        <v>230</v>
      </c>
      <c r="D89" s="244">
        <v>43402</v>
      </c>
      <c r="E89" s="244">
        <v>43371</v>
      </c>
      <c r="F89" s="243">
        <v>31</v>
      </c>
      <c r="G89" s="243" t="s">
        <v>256</v>
      </c>
      <c r="H89" s="243" t="s">
        <v>254</v>
      </c>
      <c r="I89" s="243">
        <v>22</v>
      </c>
      <c r="J89" s="243"/>
      <c r="K89" s="243"/>
      <c r="L89" s="243">
        <v>2.31</v>
      </c>
      <c r="M89" s="243">
        <v>22.76</v>
      </c>
      <c r="N89" s="243">
        <v>25.07</v>
      </c>
      <c r="O89" s="318">
        <v>2018</v>
      </c>
      <c r="P89" s="310">
        <v>10</v>
      </c>
      <c r="Q89" s="310"/>
      <c r="R89" s="244">
        <v>43371</v>
      </c>
      <c r="S89" s="261" t="s">
        <v>90</v>
      </c>
      <c r="T89" s="230" t="s">
        <v>252</v>
      </c>
    </row>
    <row r="90" spans="1:20" x14ac:dyDescent="0.25">
      <c r="A90" s="243">
        <v>8408015500</v>
      </c>
      <c r="B90" s="240" t="str">
        <f>VLOOKUP(A90,'Energy Provider Accounts'!C:F,2,FALSE)</f>
        <v>Kennel</v>
      </c>
      <c r="C90" s="243" t="s">
        <v>230</v>
      </c>
      <c r="D90" s="244">
        <v>43433</v>
      </c>
      <c r="E90" s="244">
        <v>43402</v>
      </c>
      <c r="F90" s="243">
        <v>31</v>
      </c>
      <c r="G90" s="243" t="s">
        <v>256</v>
      </c>
      <c r="H90" s="243" t="s">
        <v>254</v>
      </c>
      <c r="I90" s="243">
        <v>21</v>
      </c>
      <c r="J90" s="243"/>
      <c r="K90" s="243"/>
      <c r="L90" s="243">
        <v>1.69</v>
      </c>
      <c r="M90" s="243">
        <v>22.67</v>
      </c>
      <c r="N90" s="243">
        <v>24.36</v>
      </c>
      <c r="O90" s="318">
        <v>2018</v>
      </c>
      <c r="P90" s="310">
        <v>11</v>
      </c>
      <c r="Q90" s="310"/>
      <c r="R90" s="244">
        <v>43402</v>
      </c>
      <c r="S90" s="261" t="s">
        <v>91</v>
      </c>
      <c r="T90" s="230" t="s">
        <v>252</v>
      </c>
    </row>
    <row r="91" spans="1:20" x14ac:dyDescent="0.25">
      <c r="A91" s="243">
        <v>8408015500</v>
      </c>
      <c r="B91" s="240" t="str">
        <f>VLOOKUP(A91,'Energy Provider Accounts'!C:F,2,FALSE)</f>
        <v>Kennel</v>
      </c>
      <c r="C91" s="243" t="s">
        <v>230</v>
      </c>
      <c r="D91" s="244">
        <v>43467</v>
      </c>
      <c r="E91" s="244">
        <v>43433</v>
      </c>
      <c r="F91" s="243">
        <v>35</v>
      </c>
      <c r="G91" s="243" t="s">
        <v>256</v>
      </c>
      <c r="H91" s="243" t="s">
        <v>254</v>
      </c>
      <c r="I91" s="243">
        <v>187</v>
      </c>
      <c r="J91" s="243"/>
      <c r="K91" s="243"/>
      <c r="L91" s="243">
        <v>9.08</v>
      </c>
      <c r="M91" s="243">
        <v>34.86</v>
      </c>
      <c r="N91" s="243">
        <v>43.94</v>
      </c>
      <c r="O91" s="318"/>
      <c r="P91" s="310">
        <v>12</v>
      </c>
      <c r="Q91" s="310"/>
      <c r="R91" s="244">
        <v>43433</v>
      </c>
      <c r="S91" s="261" t="s">
        <v>92</v>
      </c>
      <c r="T91" s="230" t="s">
        <v>252</v>
      </c>
    </row>
    <row r="92" spans="1:20" x14ac:dyDescent="0.25">
      <c r="A92" s="243">
        <v>8408015500</v>
      </c>
      <c r="B92" s="240" t="str">
        <f>VLOOKUP(A92,'Energy Provider Accounts'!C:F,2,FALSE)</f>
        <v>Kennel</v>
      </c>
      <c r="C92" s="243" t="s">
        <v>230</v>
      </c>
      <c r="D92" s="244"/>
      <c r="E92" s="244"/>
      <c r="F92" s="243"/>
      <c r="G92" s="243"/>
      <c r="H92" s="243"/>
      <c r="I92" s="243"/>
      <c r="J92" s="243"/>
      <c r="K92" s="243"/>
      <c r="L92" s="243"/>
      <c r="M92" s="243"/>
      <c r="N92" s="243"/>
      <c r="P92" s="310"/>
      <c r="Q92" s="310"/>
      <c r="R92" s="244"/>
      <c r="S92" s="240"/>
    </row>
    <row r="93" spans="1:20" x14ac:dyDescent="0.25">
      <c r="A93" s="243">
        <v>8409201001</v>
      </c>
      <c r="B93" s="240" t="str">
        <f>VLOOKUP(A93,'Energy Provider Accounts'!C:F,2,FALSE)</f>
        <v>Majestic Park</v>
      </c>
      <c r="C93" s="239" t="s">
        <v>230</v>
      </c>
      <c r="D93" s="244">
        <v>42033</v>
      </c>
      <c r="E93" s="244">
        <v>41974</v>
      </c>
      <c r="F93" s="243">
        <v>60</v>
      </c>
      <c r="G93" s="243" t="s">
        <v>251</v>
      </c>
      <c r="H93" s="243" t="s">
        <v>254</v>
      </c>
      <c r="I93" s="243">
        <v>0</v>
      </c>
      <c r="J93" s="250"/>
      <c r="K93" s="250"/>
      <c r="L93" s="243">
        <v>0</v>
      </c>
      <c r="M93" s="243">
        <v>70.03</v>
      </c>
      <c r="N93" s="243">
        <v>70.03</v>
      </c>
      <c r="O93">
        <v>2015</v>
      </c>
      <c r="P93" s="310">
        <f t="shared" si="0"/>
        <v>1</v>
      </c>
      <c r="Q93" s="310"/>
      <c r="R93" s="244">
        <v>41974</v>
      </c>
      <c r="S93" s="240" t="str">
        <f t="shared" si="1"/>
        <v>Jan</v>
      </c>
      <c r="T93" s="230" t="s">
        <v>255</v>
      </c>
    </row>
    <row r="94" spans="1:20" x14ac:dyDescent="0.25">
      <c r="A94" s="243">
        <v>8409201001</v>
      </c>
      <c r="B94" s="240" t="str">
        <f>VLOOKUP(A94,'Energy Provider Accounts'!C:F,2,FALSE)</f>
        <v>Majestic Park</v>
      </c>
      <c r="C94" s="243" t="s">
        <v>230</v>
      </c>
      <c r="D94" s="244">
        <v>42096</v>
      </c>
      <c r="E94" s="244">
        <v>42033</v>
      </c>
      <c r="F94" s="243">
        <v>63</v>
      </c>
      <c r="G94" s="243" t="s">
        <v>251</v>
      </c>
      <c r="H94" s="243" t="s">
        <v>254</v>
      </c>
      <c r="I94" s="243">
        <v>0</v>
      </c>
      <c r="J94" s="250"/>
      <c r="K94" s="250"/>
      <c r="L94" s="243">
        <v>0</v>
      </c>
      <c r="M94" s="243">
        <v>70.02</v>
      </c>
      <c r="N94" s="243">
        <v>70.02</v>
      </c>
      <c r="O94">
        <v>2015</v>
      </c>
      <c r="P94" s="310">
        <f t="shared" ref="P94:P184" si="4">MONTH(D94)</f>
        <v>4</v>
      </c>
      <c r="Q94" s="310"/>
      <c r="R94" s="244">
        <v>42033</v>
      </c>
      <c r="S94" s="240" t="str">
        <f t="shared" si="1"/>
        <v>Apr</v>
      </c>
      <c r="T94" s="230" t="s">
        <v>255</v>
      </c>
    </row>
    <row r="95" spans="1:20" x14ac:dyDescent="0.25">
      <c r="A95" s="243">
        <v>8409201001</v>
      </c>
      <c r="B95" s="240" t="str">
        <f>VLOOKUP(A95,'Energy Provider Accounts'!C:F,2,FALSE)</f>
        <v>Majestic Park</v>
      </c>
      <c r="C95" s="243" t="s">
        <v>230</v>
      </c>
      <c r="D95" s="244">
        <v>42157</v>
      </c>
      <c r="E95" s="244">
        <v>42096</v>
      </c>
      <c r="F95" s="243">
        <v>61</v>
      </c>
      <c r="G95" s="243" t="s">
        <v>251</v>
      </c>
      <c r="H95" s="243" t="s">
        <v>254</v>
      </c>
      <c r="I95" s="243">
        <v>78</v>
      </c>
      <c r="J95" s="250"/>
      <c r="K95" s="250"/>
      <c r="L95" s="243">
        <v>4.78</v>
      </c>
      <c r="M95" s="243">
        <v>71.53</v>
      </c>
      <c r="N95" s="243">
        <v>76.31</v>
      </c>
      <c r="O95">
        <v>2015</v>
      </c>
      <c r="P95" s="310">
        <f t="shared" si="4"/>
        <v>6</v>
      </c>
      <c r="Q95" s="310"/>
      <c r="R95" s="244">
        <v>42096</v>
      </c>
      <c r="S95" s="240" t="str">
        <f t="shared" ref="S95:S185" si="5">CHOOSE(P95,"Jan","Feb","Mar","Apr","May","Jun","Jul","Aug","Sep","Oct","Nov","Dec")</f>
        <v>Jun</v>
      </c>
      <c r="T95" s="230" t="s">
        <v>255</v>
      </c>
    </row>
    <row r="96" spans="1:20" x14ac:dyDescent="0.25">
      <c r="A96" s="243">
        <v>8409201001</v>
      </c>
      <c r="B96" s="240" t="str">
        <f>VLOOKUP(A96,'Energy Provider Accounts'!C:F,2,FALSE)</f>
        <v>Majestic Park</v>
      </c>
      <c r="C96" s="243" t="s">
        <v>230</v>
      </c>
      <c r="D96" s="244">
        <v>42214</v>
      </c>
      <c r="E96" s="244">
        <v>42157</v>
      </c>
      <c r="F96" s="243">
        <v>57</v>
      </c>
      <c r="G96" s="243" t="s">
        <v>251</v>
      </c>
      <c r="H96" s="243" t="s">
        <v>254</v>
      </c>
      <c r="I96" s="243">
        <v>163</v>
      </c>
      <c r="J96" s="250"/>
      <c r="K96" s="250"/>
      <c r="L96" s="243">
        <v>9.7799999999999994</v>
      </c>
      <c r="M96" s="243">
        <v>72.81</v>
      </c>
      <c r="N96" s="243">
        <v>82.59</v>
      </c>
      <c r="O96">
        <v>2015</v>
      </c>
      <c r="P96" s="310">
        <f t="shared" si="4"/>
        <v>7</v>
      </c>
      <c r="Q96" s="310"/>
      <c r="R96" s="244">
        <v>42157</v>
      </c>
      <c r="S96" s="240" t="str">
        <f t="shared" si="5"/>
        <v>Jul</v>
      </c>
      <c r="T96" s="230" t="s">
        <v>255</v>
      </c>
    </row>
    <row r="97" spans="1:20" x14ac:dyDescent="0.25">
      <c r="A97" s="242">
        <v>8409201001</v>
      </c>
      <c r="B97" s="240" t="str">
        <f>VLOOKUP(A97,'Energy Provider Accounts'!C:F,2,FALSE)</f>
        <v>Majestic Park</v>
      </c>
      <c r="C97" s="242" t="s">
        <v>230</v>
      </c>
      <c r="D97" s="248">
        <v>42278</v>
      </c>
      <c r="E97" s="248">
        <v>42214</v>
      </c>
      <c r="F97" s="242">
        <v>57</v>
      </c>
      <c r="G97" s="242" t="s">
        <v>251</v>
      </c>
      <c r="H97" s="243" t="s">
        <v>254</v>
      </c>
      <c r="I97" s="242">
        <v>951</v>
      </c>
      <c r="J97" s="250"/>
      <c r="K97" s="250"/>
      <c r="L97" s="242">
        <v>76.430000000000007</v>
      </c>
      <c r="M97" s="242">
        <v>86.81</v>
      </c>
      <c r="N97" s="242">
        <v>163.24</v>
      </c>
      <c r="O97">
        <v>2015</v>
      </c>
      <c r="P97" s="310">
        <f t="shared" si="4"/>
        <v>10</v>
      </c>
      <c r="Q97" s="310"/>
      <c r="R97" s="248">
        <v>42214</v>
      </c>
      <c r="S97" s="240" t="str">
        <f t="shared" si="5"/>
        <v>Oct</v>
      </c>
      <c r="T97" s="230" t="s">
        <v>255</v>
      </c>
    </row>
    <row r="98" spans="1:20" x14ac:dyDescent="0.25">
      <c r="A98" s="243">
        <v>8409201001</v>
      </c>
      <c r="B98" s="240" t="str">
        <f>VLOOKUP(A98,'Energy Provider Accounts'!C:F,2,FALSE)</f>
        <v>Majestic Park</v>
      </c>
      <c r="C98" s="243" t="s">
        <v>230</v>
      </c>
      <c r="D98" s="244">
        <v>42339</v>
      </c>
      <c r="E98" s="244">
        <v>42278</v>
      </c>
      <c r="F98" s="243">
        <v>62</v>
      </c>
      <c r="G98" s="243" t="s">
        <v>251</v>
      </c>
      <c r="H98" s="243" t="s">
        <v>254</v>
      </c>
      <c r="I98" s="243">
        <v>1494</v>
      </c>
      <c r="J98" s="250"/>
      <c r="K98" s="250"/>
      <c r="L98" s="243">
        <v>101.5</v>
      </c>
      <c r="M98" s="243">
        <v>98.4</v>
      </c>
      <c r="N98" s="243">
        <v>199.9</v>
      </c>
      <c r="O98">
        <v>2015</v>
      </c>
      <c r="P98" s="310">
        <f t="shared" si="4"/>
        <v>12</v>
      </c>
      <c r="Q98" s="310"/>
      <c r="R98" s="244">
        <v>42278</v>
      </c>
      <c r="S98" s="240" t="str">
        <f t="shared" si="5"/>
        <v>Dec</v>
      </c>
      <c r="T98" s="230" t="s">
        <v>255</v>
      </c>
    </row>
    <row r="99" spans="1:20" x14ac:dyDescent="0.25">
      <c r="A99" s="243">
        <v>8409201001</v>
      </c>
      <c r="B99" s="240" t="str">
        <f>VLOOKUP(A99,'Energy Provider Accounts'!C:F,2,FALSE)</f>
        <v>Majestic Park</v>
      </c>
      <c r="C99" s="243" t="s">
        <v>230</v>
      </c>
      <c r="D99" s="244">
        <v>42398</v>
      </c>
      <c r="E99" s="244">
        <v>42339</v>
      </c>
      <c r="F99" s="243">
        <v>60</v>
      </c>
      <c r="G99" s="243" t="s">
        <v>253</v>
      </c>
      <c r="H99" s="243" t="s">
        <v>254</v>
      </c>
      <c r="I99" s="243">
        <v>1009</v>
      </c>
      <c r="J99" s="243">
        <v>0</v>
      </c>
      <c r="K99" s="243">
        <v>0</v>
      </c>
      <c r="L99" s="243">
        <v>113.72</v>
      </c>
      <c r="M99" s="243">
        <v>28.84</v>
      </c>
      <c r="N99" s="243">
        <v>142.63999999999999</v>
      </c>
      <c r="O99">
        <v>2016</v>
      </c>
      <c r="P99" s="310">
        <f t="shared" si="4"/>
        <v>1</v>
      </c>
      <c r="Q99" s="310"/>
      <c r="R99" s="244">
        <v>42339</v>
      </c>
      <c r="S99" s="240" t="str">
        <f t="shared" si="5"/>
        <v>Jan</v>
      </c>
      <c r="T99" s="230" t="s">
        <v>255</v>
      </c>
    </row>
    <row r="100" spans="1:20" x14ac:dyDescent="0.25">
      <c r="A100" s="243">
        <v>8409201001</v>
      </c>
      <c r="B100" s="240" t="str">
        <f>VLOOKUP(A100,'Energy Provider Accounts'!C:F,2,FALSE)</f>
        <v>Majestic Park</v>
      </c>
      <c r="C100" s="243" t="s">
        <v>230</v>
      </c>
      <c r="D100" s="244">
        <v>42459</v>
      </c>
      <c r="E100" s="244">
        <v>42399</v>
      </c>
      <c r="F100" s="243">
        <v>60</v>
      </c>
      <c r="G100" s="243" t="s">
        <v>253</v>
      </c>
      <c r="H100" s="243" t="s">
        <v>254</v>
      </c>
      <c r="I100" s="243">
        <v>1555</v>
      </c>
      <c r="J100" s="243">
        <v>0</v>
      </c>
      <c r="K100" s="243">
        <v>0</v>
      </c>
      <c r="L100" s="243">
        <v>253.54</v>
      </c>
      <c r="M100" s="243">
        <v>-29.59</v>
      </c>
      <c r="N100" s="243">
        <v>224.02</v>
      </c>
      <c r="O100">
        <v>2016</v>
      </c>
      <c r="P100" s="310">
        <f t="shared" si="4"/>
        <v>3</v>
      </c>
      <c r="Q100" s="310"/>
      <c r="R100" s="244">
        <v>42399</v>
      </c>
      <c r="S100" s="240" t="str">
        <f t="shared" si="5"/>
        <v>Mar</v>
      </c>
      <c r="T100" s="230" t="s">
        <v>255</v>
      </c>
    </row>
    <row r="101" spans="1:20" x14ac:dyDescent="0.25">
      <c r="A101" s="243">
        <v>8409201001</v>
      </c>
      <c r="B101" s="240" t="str">
        <f>VLOOKUP(A101,'Energy Provider Accounts'!C:F,2,FALSE)</f>
        <v>Majestic Park</v>
      </c>
      <c r="C101" s="243" t="s">
        <v>230</v>
      </c>
      <c r="D101" s="244">
        <v>42521</v>
      </c>
      <c r="E101" s="244">
        <v>42461</v>
      </c>
      <c r="F101" s="243">
        <v>60</v>
      </c>
      <c r="G101" s="243" t="s">
        <v>253</v>
      </c>
      <c r="H101" s="243" t="s">
        <v>254</v>
      </c>
      <c r="I101" s="243">
        <v>96</v>
      </c>
      <c r="J101" s="243">
        <v>0</v>
      </c>
      <c r="K101" s="243">
        <v>0</v>
      </c>
      <c r="L101" s="243">
        <v>12.75</v>
      </c>
      <c r="M101" s="243">
        <v>65.239999999999995</v>
      </c>
      <c r="N101" s="243">
        <v>78.010000000000005</v>
      </c>
      <c r="O101">
        <v>2016</v>
      </c>
      <c r="P101" s="310">
        <f t="shared" si="4"/>
        <v>5</v>
      </c>
      <c r="Q101" s="310"/>
      <c r="R101" s="244">
        <v>42461</v>
      </c>
      <c r="S101" s="240" t="str">
        <f t="shared" si="5"/>
        <v>May</v>
      </c>
      <c r="T101" s="230" t="s">
        <v>255</v>
      </c>
    </row>
    <row r="102" spans="1:20" x14ac:dyDescent="0.25">
      <c r="A102" s="243">
        <v>8409201001</v>
      </c>
      <c r="B102" s="240" t="str">
        <f>VLOOKUP(A102,'Energy Provider Accounts'!C:F,2,FALSE)</f>
        <v>Majestic Park</v>
      </c>
      <c r="C102" s="243" t="s">
        <v>230</v>
      </c>
      <c r="D102" s="244">
        <v>42552</v>
      </c>
      <c r="E102" s="244">
        <v>42522</v>
      </c>
      <c r="F102" s="243">
        <v>30</v>
      </c>
      <c r="G102" s="243" t="s">
        <v>256</v>
      </c>
      <c r="H102" s="243" t="s">
        <v>254</v>
      </c>
      <c r="I102" s="243">
        <v>84</v>
      </c>
      <c r="J102" s="243">
        <v>0</v>
      </c>
      <c r="K102" s="243">
        <v>0</v>
      </c>
      <c r="L102" s="243">
        <v>10.65</v>
      </c>
      <c r="M102" s="243">
        <v>31.03</v>
      </c>
      <c r="N102" s="243">
        <v>41.69</v>
      </c>
      <c r="O102">
        <v>2016</v>
      </c>
      <c r="P102" s="310">
        <f t="shared" si="4"/>
        <v>7</v>
      </c>
      <c r="Q102" s="310"/>
      <c r="R102" s="244">
        <v>42522</v>
      </c>
      <c r="S102" s="240" t="str">
        <f t="shared" si="5"/>
        <v>Jul</v>
      </c>
      <c r="T102" s="230" t="s">
        <v>255</v>
      </c>
    </row>
    <row r="103" spans="1:20" x14ac:dyDescent="0.25">
      <c r="A103" s="243">
        <v>8409201001</v>
      </c>
      <c r="B103" s="240" t="str">
        <f>VLOOKUP(A103,'Energy Provider Accounts'!C:F,2,FALSE)</f>
        <v>Majestic Park</v>
      </c>
      <c r="C103" s="243" t="s">
        <v>230</v>
      </c>
      <c r="D103" s="244">
        <v>42585</v>
      </c>
      <c r="E103" s="244">
        <v>42555</v>
      </c>
      <c r="F103" s="243">
        <v>30</v>
      </c>
      <c r="G103" s="243" t="s">
        <v>253</v>
      </c>
      <c r="H103" s="243" t="s">
        <v>254</v>
      </c>
      <c r="I103" s="243">
        <v>115</v>
      </c>
      <c r="J103" s="243">
        <v>0</v>
      </c>
      <c r="K103" s="243">
        <v>0</v>
      </c>
      <c r="L103" s="243">
        <v>12.34</v>
      </c>
      <c r="M103" s="243">
        <v>31.8</v>
      </c>
      <c r="N103" s="243">
        <v>44.15</v>
      </c>
      <c r="O103">
        <v>2016</v>
      </c>
      <c r="P103" s="310">
        <f t="shared" si="4"/>
        <v>8</v>
      </c>
      <c r="Q103" s="310"/>
      <c r="R103" s="244">
        <v>42555</v>
      </c>
      <c r="S103" s="240" t="str">
        <f t="shared" si="5"/>
        <v>Aug</v>
      </c>
      <c r="T103" s="230" t="s">
        <v>255</v>
      </c>
    </row>
    <row r="104" spans="1:20" x14ac:dyDescent="0.25">
      <c r="A104" s="243">
        <v>8409201001</v>
      </c>
      <c r="B104" s="240" t="str">
        <f>VLOOKUP(A104,'Energy Provider Accounts'!C:F,2,FALSE)</f>
        <v>Majestic Park</v>
      </c>
      <c r="C104" s="243" t="s">
        <v>230</v>
      </c>
      <c r="D104" s="244">
        <v>42613</v>
      </c>
      <c r="E104" s="244">
        <v>42583</v>
      </c>
      <c r="F104" s="243">
        <v>30</v>
      </c>
      <c r="G104" s="243" t="s">
        <v>256</v>
      </c>
      <c r="H104" s="243" t="s">
        <v>254</v>
      </c>
      <c r="I104" s="243">
        <v>443</v>
      </c>
      <c r="J104" s="243">
        <v>0</v>
      </c>
      <c r="K104" s="243">
        <v>0</v>
      </c>
      <c r="L104" s="243">
        <v>68.91</v>
      </c>
      <c r="M104" s="243">
        <v>12.23</v>
      </c>
      <c r="N104" s="243">
        <v>81.180000000000007</v>
      </c>
      <c r="O104">
        <v>2016</v>
      </c>
      <c r="P104" s="310">
        <f t="shared" si="4"/>
        <v>8</v>
      </c>
      <c r="Q104" s="310"/>
      <c r="R104" s="244">
        <v>42583</v>
      </c>
      <c r="S104" s="240" t="str">
        <f t="shared" si="5"/>
        <v>Aug</v>
      </c>
      <c r="T104" s="230" t="s">
        <v>255</v>
      </c>
    </row>
    <row r="105" spans="1:20" x14ac:dyDescent="0.25">
      <c r="A105" s="243">
        <v>8409201001</v>
      </c>
      <c r="B105" s="240" t="str">
        <f>VLOOKUP(A105,'Energy Provider Accounts'!C:F,2,FALSE)</f>
        <v>Majestic Park</v>
      </c>
      <c r="C105" s="243" t="s">
        <v>230</v>
      </c>
      <c r="D105" s="244">
        <v>42646</v>
      </c>
      <c r="E105" s="244">
        <v>42586</v>
      </c>
      <c r="F105" s="243">
        <v>60</v>
      </c>
      <c r="G105" s="243" t="s">
        <v>253</v>
      </c>
      <c r="H105" s="243" t="s">
        <v>254</v>
      </c>
      <c r="I105" s="243">
        <v>113</v>
      </c>
      <c r="J105" s="243">
        <v>0</v>
      </c>
      <c r="K105" s="243">
        <v>0</v>
      </c>
      <c r="L105" s="243">
        <v>16.13</v>
      </c>
      <c r="M105" s="243">
        <v>64.91</v>
      </c>
      <c r="N105" s="243">
        <v>81.069999999999993</v>
      </c>
      <c r="O105">
        <v>2016</v>
      </c>
      <c r="P105" s="310">
        <f t="shared" si="4"/>
        <v>10</v>
      </c>
      <c r="Q105" s="310"/>
      <c r="R105" s="244">
        <v>42586</v>
      </c>
      <c r="S105" s="240" t="str">
        <f t="shared" si="5"/>
        <v>Oct</v>
      </c>
      <c r="T105" s="230" t="s">
        <v>255</v>
      </c>
    </row>
    <row r="106" spans="1:20" x14ac:dyDescent="0.25">
      <c r="A106" s="243">
        <v>8409201001</v>
      </c>
      <c r="B106" s="240" t="str">
        <f>VLOOKUP(A106,'Energy Provider Accounts'!C:F,2,FALSE)</f>
        <v>Majestic Park</v>
      </c>
      <c r="C106" s="243" t="s">
        <v>230</v>
      </c>
      <c r="D106" s="244">
        <v>42674</v>
      </c>
      <c r="E106" s="244">
        <v>42644</v>
      </c>
      <c r="F106" s="243">
        <v>30</v>
      </c>
      <c r="G106" s="243" t="s">
        <v>256</v>
      </c>
      <c r="H106" s="243" t="s">
        <v>254</v>
      </c>
      <c r="I106" s="243">
        <v>697</v>
      </c>
      <c r="J106" s="243">
        <v>0</v>
      </c>
      <c r="K106" s="243">
        <v>0</v>
      </c>
      <c r="L106" s="243">
        <v>78.86</v>
      </c>
      <c r="M106" s="243">
        <v>14.25</v>
      </c>
      <c r="N106" s="243">
        <v>93.14</v>
      </c>
      <c r="O106">
        <v>2016</v>
      </c>
      <c r="P106" s="310">
        <f t="shared" si="4"/>
        <v>10</v>
      </c>
      <c r="Q106" s="310"/>
      <c r="R106" s="244">
        <v>42644</v>
      </c>
      <c r="S106" s="240" t="str">
        <f t="shared" si="5"/>
        <v>Oct</v>
      </c>
      <c r="T106" s="230" t="s">
        <v>255</v>
      </c>
    </row>
    <row r="107" spans="1:20" x14ac:dyDescent="0.25">
      <c r="A107" s="243">
        <v>8409201001</v>
      </c>
      <c r="B107" s="240" t="str">
        <f>VLOOKUP(A107,'Energy Provider Accounts'!C:F,2,FALSE)</f>
        <v>Majestic Park</v>
      </c>
      <c r="C107" s="243" t="s">
        <v>230</v>
      </c>
      <c r="D107" s="244">
        <v>42705</v>
      </c>
      <c r="E107" s="244">
        <v>42645</v>
      </c>
      <c r="F107" s="243">
        <v>60</v>
      </c>
      <c r="G107" s="243" t="s">
        <v>253</v>
      </c>
      <c r="H107" s="243" t="s">
        <v>254</v>
      </c>
      <c r="I107" s="243">
        <v>15</v>
      </c>
      <c r="J107" s="243">
        <v>0</v>
      </c>
      <c r="K107" s="243">
        <v>0</v>
      </c>
      <c r="L107" s="243">
        <v>1.94</v>
      </c>
      <c r="M107" s="243">
        <v>69.44</v>
      </c>
      <c r="N107" s="243">
        <v>71.400000000000006</v>
      </c>
      <c r="O107">
        <v>2016</v>
      </c>
      <c r="P107" s="310">
        <f t="shared" si="4"/>
        <v>12</v>
      </c>
      <c r="Q107" s="310"/>
      <c r="R107" s="244">
        <v>42645</v>
      </c>
      <c r="S107" s="240" t="str">
        <f t="shared" si="5"/>
        <v>Dec</v>
      </c>
      <c r="T107" s="230" t="s">
        <v>255</v>
      </c>
    </row>
    <row r="108" spans="1:20" x14ac:dyDescent="0.25">
      <c r="A108" s="243">
        <v>8409201001</v>
      </c>
      <c r="B108" s="240" t="str">
        <f>VLOOKUP(A108,'Energy Provider Accounts'!C:F,2,FALSE)</f>
        <v>Majestic Park</v>
      </c>
      <c r="C108" s="243" t="s">
        <v>230</v>
      </c>
      <c r="D108" s="244">
        <v>42739</v>
      </c>
      <c r="E108" s="244">
        <v>42709</v>
      </c>
      <c r="F108" s="243">
        <v>30</v>
      </c>
      <c r="G108" s="243" t="s">
        <v>256</v>
      </c>
      <c r="H108" s="243" t="s">
        <v>254</v>
      </c>
      <c r="I108" s="243">
        <v>571</v>
      </c>
      <c r="J108" s="243">
        <v>0</v>
      </c>
      <c r="K108" s="243">
        <v>0</v>
      </c>
      <c r="L108" s="243">
        <v>64.84</v>
      </c>
      <c r="M108" s="243">
        <v>17.45</v>
      </c>
      <c r="N108" s="243">
        <v>82.31</v>
      </c>
      <c r="O108">
        <v>2017</v>
      </c>
      <c r="P108" s="310">
        <f t="shared" si="4"/>
        <v>1</v>
      </c>
      <c r="Q108" s="310"/>
      <c r="R108" s="244">
        <v>42709</v>
      </c>
      <c r="S108" s="240" t="str">
        <f t="shared" si="5"/>
        <v>Jan</v>
      </c>
      <c r="T108" s="230" t="s">
        <v>255</v>
      </c>
    </row>
    <row r="109" spans="1:20" x14ac:dyDescent="0.25">
      <c r="A109" s="243">
        <v>8409201001</v>
      </c>
      <c r="B109" s="240" t="str">
        <f>VLOOKUP(A109,'Energy Provider Accounts'!C:F,2,FALSE)</f>
        <v>Majestic Park</v>
      </c>
      <c r="C109" s="243" t="s">
        <v>230</v>
      </c>
      <c r="D109" s="244">
        <v>42767</v>
      </c>
      <c r="E109" s="244">
        <v>42707</v>
      </c>
      <c r="F109" s="243">
        <v>60</v>
      </c>
      <c r="G109" s="243" t="s">
        <v>253</v>
      </c>
      <c r="H109" s="243" t="s">
        <v>254</v>
      </c>
      <c r="I109" s="243">
        <v>4</v>
      </c>
      <c r="J109" s="243">
        <v>0</v>
      </c>
      <c r="K109" s="243">
        <v>0</v>
      </c>
      <c r="L109" s="243">
        <v>0.51</v>
      </c>
      <c r="M109" s="243">
        <v>69.83</v>
      </c>
      <c r="N109" s="243">
        <v>70.37</v>
      </c>
      <c r="O109">
        <v>2017</v>
      </c>
      <c r="P109" s="310">
        <f t="shared" si="4"/>
        <v>2</v>
      </c>
      <c r="Q109" s="310"/>
      <c r="R109" s="244">
        <v>42707</v>
      </c>
      <c r="S109" s="240" t="str">
        <f t="shared" si="5"/>
        <v>Feb</v>
      </c>
      <c r="T109" s="230" t="s">
        <v>252</v>
      </c>
    </row>
    <row r="110" spans="1:20" x14ac:dyDescent="0.25">
      <c r="A110" s="243">
        <v>8409201001</v>
      </c>
      <c r="B110" s="240" t="str">
        <f>VLOOKUP(A110,'Energy Provider Accounts'!C:F,2,FALSE)</f>
        <v>Majestic Park</v>
      </c>
      <c r="C110" s="243" t="s">
        <v>230</v>
      </c>
      <c r="D110" s="244">
        <v>42797</v>
      </c>
      <c r="E110" s="244">
        <v>42767</v>
      </c>
      <c r="F110" s="243">
        <v>30</v>
      </c>
      <c r="G110" s="243" t="s">
        <v>256</v>
      </c>
      <c r="H110" s="243" t="s">
        <v>254</v>
      </c>
      <c r="I110" s="243">
        <v>777</v>
      </c>
      <c r="J110" s="243">
        <v>0</v>
      </c>
      <c r="K110" s="243">
        <v>0</v>
      </c>
      <c r="L110" s="243">
        <v>114.7</v>
      </c>
      <c r="M110" s="243">
        <v>-8.2799999999999994</v>
      </c>
      <c r="N110" s="243">
        <v>106.47</v>
      </c>
      <c r="O110">
        <v>2017</v>
      </c>
      <c r="P110" s="310">
        <f t="shared" si="4"/>
        <v>3</v>
      </c>
      <c r="Q110" s="310"/>
      <c r="R110" s="244">
        <v>42767</v>
      </c>
      <c r="S110" s="240" t="str">
        <f t="shared" si="5"/>
        <v>Mar</v>
      </c>
      <c r="T110" s="230" t="s">
        <v>252</v>
      </c>
    </row>
    <row r="111" spans="1:20" x14ac:dyDescent="0.25">
      <c r="A111" s="243">
        <v>8409201001</v>
      </c>
      <c r="B111" s="240" t="str">
        <f>VLOOKUP(A111,'Energy Provider Accounts'!C:F,2,FALSE)</f>
        <v>Majestic Park</v>
      </c>
      <c r="C111" s="243" t="s">
        <v>230</v>
      </c>
      <c r="D111" s="244">
        <v>42825</v>
      </c>
      <c r="E111" s="244">
        <v>42765</v>
      </c>
      <c r="F111" s="243">
        <v>60</v>
      </c>
      <c r="G111" s="243" t="s">
        <v>253</v>
      </c>
      <c r="H111" s="243" t="s">
        <v>254</v>
      </c>
      <c r="I111" s="243">
        <v>3</v>
      </c>
      <c r="J111" s="243">
        <v>0</v>
      </c>
      <c r="K111" s="243">
        <v>0</v>
      </c>
      <c r="L111" s="243">
        <v>0.39</v>
      </c>
      <c r="M111" s="243">
        <v>69.849999999999994</v>
      </c>
      <c r="N111" s="243">
        <v>70.27</v>
      </c>
      <c r="O111">
        <v>2017</v>
      </c>
      <c r="P111" s="310">
        <f t="shared" si="4"/>
        <v>3</v>
      </c>
      <c r="Q111" s="310"/>
      <c r="R111" s="244">
        <v>42765</v>
      </c>
      <c r="S111" s="240" t="str">
        <f t="shared" si="5"/>
        <v>Mar</v>
      </c>
      <c r="T111" s="230" t="s">
        <v>252</v>
      </c>
    </row>
    <row r="112" spans="1:20" x14ac:dyDescent="0.25">
      <c r="A112" s="243">
        <v>8409201001</v>
      </c>
      <c r="B112" s="240" t="str">
        <f>VLOOKUP(A112,'Energy Provider Accounts'!C:F,2,FALSE)</f>
        <v>Majestic Park</v>
      </c>
      <c r="C112" s="243" t="s">
        <v>230</v>
      </c>
      <c r="D112" s="244">
        <v>42857</v>
      </c>
      <c r="E112" s="244">
        <v>42827</v>
      </c>
      <c r="F112" s="243">
        <v>30</v>
      </c>
      <c r="G112" s="243" t="s">
        <v>256</v>
      </c>
      <c r="H112" s="243" t="s">
        <v>254</v>
      </c>
      <c r="I112" s="243">
        <v>51</v>
      </c>
      <c r="J112" s="243">
        <v>0</v>
      </c>
      <c r="K112" s="243">
        <v>0</v>
      </c>
      <c r="L112" s="243">
        <v>8.24</v>
      </c>
      <c r="M112" s="243">
        <v>31.79</v>
      </c>
      <c r="N112" s="243">
        <v>40.04</v>
      </c>
      <c r="O112">
        <v>2017</v>
      </c>
      <c r="P112" s="310">
        <f t="shared" si="4"/>
        <v>5</v>
      </c>
      <c r="Q112" s="310"/>
      <c r="R112" s="244">
        <v>42827</v>
      </c>
      <c r="S112" s="240" t="str">
        <f t="shared" si="5"/>
        <v>May</v>
      </c>
      <c r="T112" s="230" t="s">
        <v>252</v>
      </c>
    </row>
    <row r="113" spans="1:20" x14ac:dyDescent="0.25">
      <c r="A113" s="243">
        <v>8409201001</v>
      </c>
      <c r="B113" s="240" t="str">
        <f>VLOOKUP(A113,'Energy Provider Accounts'!C:F,2,FALSE)</f>
        <v>Majestic Park</v>
      </c>
      <c r="C113" s="243" t="s">
        <v>230</v>
      </c>
      <c r="D113" s="244">
        <v>42888</v>
      </c>
      <c r="E113" s="244">
        <v>42858</v>
      </c>
      <c r="F113" s="243">
        <v>30</v>
      </c>
      <c r="G113" s="243" t="s">
        <v>253</v>
      </c>
      <c r="H113" s="243" t="s">
        <v>254</v>
      </c>
      <c r="I113" s="243">
        <v>45</v>
      </c>
      <c r="J113" s="243">
        <v>0</v>
      </c>
      <c r="K113" s="243">
        <v>0</v>
      </c>
      <c r="L113" s="243">
        <v>7.68</v>
      </c>
      <c r="M113" s="243">
        <v>31.98</v>
      </c>
      <c r="N113" s="243">
        <v>39.67</v>
      </c>
      <c r="O113">
        <v>2017</v>
      </c>
      <c r="P113" s="310">
        <f t="shared" si="4"/>
        <v>6</v>
      </c>
      <c r="Q113" s="310"/>
      <c r="R113" s="244">
        <v>42858</v>
      </c>
      <c r="S113" s="240" t="str">
        <f t="shared" si="5"/>
        <v>Jun</v>
      </c>
      <c r="T113" s="230" t="s">
        <v>252</v>
      </c>
    </row>
    <row r="114" spans="1:20" x14ac:dyDescent="0.25">
      <c r="A114" s="243">
        <v>8409201001</v>
      </c>
      <c r="B114" s="240" t="str">
        <f>VLOOKUP(A114,'Energy Provider Accounts'!C:F,2,FALSE)</f>
        <v>Majestic Park</v>
      </c>
      <c r="C114" s="243" t="s">
        <v>230</v>
      </c>
      <c r="D114" s="244">
        <v>42916</v>
      </c>
      <c r="E114" s="244">
        <v>42886</v>
      </c>
      <c r="F114" s="243">
        <v>30</v>
      </c>
      <c r="G114" s="243" t="s">
        <v>256</v>
      </c>
      <c r="H114" s="243" t="s">
        <v>254</v>
      </c>
      <c r="I114" s="243">
        <v>92</v>
      </c>
      <c r="J114" s="243">
        <v>0</v>
      </c>
      <c r="K114" s="243">
        <v>0</v>
      </c>
      <c r="L114" s="243">
        <v>11.13</v>
      </c>
      <c r="M114" s="243">
        <v>31.04</v>
      </c>
      <c r="N114" s="243">
        <v>42.18</v>
      </c>
      <c r="O114">
        <v>2017</v>
      </c>
      <c r="P114" s="310">
        <f t="shared" si="4"/>
        <v>6</v>
      </c>
      <c r="Q114" s="310"/>
      <c r="R114" s="244">
        <v>42886</v>
      </c>
      <c r="S114" s="240" t="str">
        <f t="shared" si="5"/>
        <v>Jun</v>
      </c>
      <c r="T114" s="230" t="s">
        <v>252</v>
      </c>
    </row>
    <row r="115" spans="1:20" x14ac:dyDescent="0.25">
      <c r="A115" s="243">
        <v>8409201001</v>
      </c>
      <c r="B115" s="240" t="str">
        <f>VLOOKUP(A115,'Energy Provider Accounts'!C:F,2,FALSE)</f>
        <v>Majestic Park</v>
      </c>
      <c r="C115" s="243" t="s">
        <v>230</v>
      </c>
      <c r="D115" s="244">
        <v>42948</v>
      </c>
      <c r="E115" s="244">
        <v>42888</v>
      </c>
      <c r="F115" s="243">
        <v>60</v>
      </c>
      <c r="G115" s="243" t="s">
        <v>253</v>
      </c>
      <c r="H115" s="243" t="s">
        <v>254</v>
      </c>
      <c r="I115" s="243">
        <v>51</v>
      </c>
      <c r="J115" s="243">
        <v>0</v>
      </c>
      <c r="K115" s="243">
        <v>0</v>
      </c>
      <c r="L115" s="243">
        <v>6.78</v>
      </c>
      <c r="M115" s="243">
        <v>67.930000000000007</v>
      </c>
      <c r="N115" s="243">
        <v>74.739999999999995</v>
      </c>
      <c r="O115">
        <v>2017</v>
      </c>
      <c r="P115" s="310">
        <f t="shared" si="4"/>
        <v>8</v>
      </c>
      <c r="Q115" s="310"/>
      <c r="R115" s="244">
        <v>42888</v>
      </c>
      <c r="S115" s="240" t="str">
        <f t="shared" si="5"/>
        <v>Aug</v>
      </c>
      <c r="T115" s="230" t="s">
        <v>255</v>
      </c>
    </row>
    <row r="116" spans="1:20" x14ac:dyDescent="0.25">
      <c r="A116" s="243">
        <v>8409201001</v>
      </c>
      <c r="B116" s="240" t="str">
        <f>VLOOKUP(A116,'Energy Provider Accounts'!C:F,2,FALSE)</f>
        <v>Majestic Park</v>
      </c>
      <c r="C116" s="243" t="s">
        <v>230</v>
      </c>
      <c r="D116" s="244">
        <v>42977</v>
      </c>
      <c r="E116" s="244">
        <v>42947</v>
      </c>
      <c r="F116" s="243">
        <v>30</v>
      </c>
      <c r="G116" s="243" t="s">
        <v>256</v>
      </c>
      <c r="H116" s="243" t="s">
        <v>254</v>
      </c>
      <c r="I116" s="243">
        <v>54</v>
      </c>
      <c r="J116" s="243">
        <v>0</v>
      </c>
      <c r="K116" s="243">
        <v>0</v>
      </c>
      <c r="L116" s="243">
        <v>7.55</v>
      </c>
      <c r="M116" s="243">
        <v>33.119999999999997</v>
      </c>
      <c r="N116" s="243">
        <v>40.67</v>
      </c>
      <c r="O116">
        <v>2017</v>
      </c>
      <c r="P116" s="310">
        <f t="shared" si="4"/>
        <v>8</v>
      </c>
      <c r="Q116" s="310"/>
      <c r="R116" s="244">
        <v>42947</v>
      </c>
      <c r="S116" s="240" t="str">
        <f t="shared" si="5"/>
        <v>Aug</v>
      </c>
      <c r="T116" s="230" t="s">
        <v>255</v>
      </c>
    </row>
    <row r="117" spans="1:20" x14ac:dyDescent="0.25">
      <c r="A117" s="243">
        <v>8409201001</v>
      </c>
      <c r="B117" s="240" t="str">
        <f>VLOOKUP(A117,'Energy Provider Accounts'!C:F,2,FALSE)</f>
        <v>Majestic Park</v>
      </c>
      <c r="C117" s="243" t="s">
        <v>230</v>
      </c>
      <c r="D117" s="244">
        <v>43010</v>
      </c>
      <c r="E117" s="244">
        <v>42950</v>
      </c>
      <c r="F117" s="243">
        <v>60</v>
      </c>
      <c r="G117" s="243" t="s">
        <v>253</v>
      </c>
      <c r="H117" s="243" t="s">
        <v>254</v>
      </c>
      <c r="I117" s="243">
        <v>38</v>
      </c>
      <c r="J117" s="243">
        <v>0</v>
      </c>
      <c r="K117" s="243">
        <v>0</v>
      </c>
      <c r="L117" s="243">
        <v>4.7699999999999996</v>
      </c>
      <c r="M117" s="243">
        <v>68.959999999999994</v>
      </c>
      <c r="N117" s="243">
        <v>73.760000000000005</v>
      </c>
      <c r="O117">
        <v>2017</v>
      </c>
      <c r="P117" s="310">
        <f t="shared" si="4"/>
        <v>10</v>
      </c>
      <c r="Q117" s="310"/>
      <c r="R117" s="244">
        <v>42950</v>
      </c>
      <c r="S117" s="240" t="str">
        <f t="shared" si="5"/>
        <v>Oct</v>
      </c>
      <c r="T117" s="230" t="s">
        <v>255</v>
      </c>
    </row>
    <row r="118" spans="1:20" x14ac:dyDescent="0.25">
      <c r="A118" s="243">
        <v>8409201001</v>
      </c>
      <c r="B118" s="240" t="str">
        <f>VLOOKUP(A118,'Energy Provider Accounts'!C:F,2,FALSE)</f>
        <v>Majestic Park</v>
      </c>
      <c r="C118" s="243" t="s">
        <v>230</v>
      </c>
      <c r="D118" s="244">
        <v>43038</v>
      </c>
      <c r="E118" s="244">
        <v>43008</v>
      </c>
      <c r="F118" s="243">
        <v>30</v>
      </c>
      <c r="G118" s="243" t="s">
        <v>256</v>
      </c>
      <c r="H118" s="243" t="s">
        <v>254</v>
      </c>
      <c r="I118" s="243">
        <v>7</v>
      </c>
      <c r="J118" s="243">
        <v>0</v>
      </c>
      <c r="K118" s="243">
        <v>0</v>
      </c>
      <c r="L118" s="243">
        <v>0.88</v>
      </c>
      <c r="M118" s="243">
        <v>34.799999999999997</v>
      </c>
      <c r="N118" s="243">
        <v>35.69</v>
      </c>
      <c r="O118">
        <v>2017</v>
      </c>
      <c r="P118" s="310">
        <f t="shared" si="4"/>
        <v>10</v>
      </c>
      <c r="Q118" s="310"/>
      <c r="R118" s="244">
        <v>43008</v>
      </c>
      <c r="S118" s="240" t="str">
        <f t="shared" si="5"/>
        <v>Oct</v>
      </c>
      <c r="T118" s="230" t="s">
        <v>255</v>
      </c>
    </row>
    <row r="119" spans="1:20" x14ac:dyDescent="0.25">
      <c r="A119" s="243">
        <v>8409201001</v>
      </c>
      <c r="B119" s="240" t="str">
        <f>VLOOKUP(A119,'Energy Provider Accounts'!C:F,2,FALSE)</f>
        <v>Majestic Park</v>
      </c>
      <c r="C119" s="243" t="s">
        <v>230</v>
      </c>
      <c r="D119" s="244">
        <v>43070</v>
      </c>
      <c r="E119" s="244">
        <v>43010</v>
      </c>
      <c r="F119" s="243">
        <v>60</v>
      </c>
      <c r="G119" s="243" t="s">
        <v>253</v>
      </c>
      <c r="H119" s="243" t="s">
        <v>254</v>
      </c>
      <c r="I119" s="243">
        <v>3</v>
      </c>
      <c r="J119" s="243">
        <v>0</v>
      </c>
      <c r="K119" s="243">
        <v>0</v>
      </c>
      <c r="L119" s="249">
        <v>0.4</v>
      </c>
      <c r="M119" s="243">
        <v>69.91</v>
      </c>
      <c r="N119" s="243">
        <v>70.34</v>
      </c>
      <c r="O119">
        <v>2017</v>
      </c>
      <c r="P119" s="310">
        <f t="shared" si="4"/>
        <v>12</v>
      </c>
      <c r="Q119" s="310"/>
      <c r="R119" s="244">
        <v>43010</v>
      </c>
      <c r="S119" s="240" t="str">
        <f t="shared" si="5"/>
        <v>Dec</v>
      </c>
      <c r="T119" s="230" t="s">
        <v>255</v>
      </c>
    </row>
    <row r="120" spans="1:20" x14ac:dyDescent="0.25">
      <c r="A120" s="243">
        <v>8409201001</v>
      </c>
      <c r="B120" s="240" t="str">
        <f>VLOOKUP(A120,'Energy Provider Accounts'!C:F,2,FALSE)</f>
        <v>Majestic Park</v>
      </c>
      <c r="C120" s="243" t="s">
        <v>230</v>
      </c>
      <c r="D120" s="244">
        <v>43103</v>
      </c>
      <c r="E120" s="244">
        <v>43070</v>
      </c>
      <c r="F120" s="243">
        <v>34</v>
      </c>
      <c r="G120" s="243" t="s">
        <v>263</v>
      </c>
      <c r="H120" s="243" t="s">
        <v>254</v>
      </c>
      <c r="I120" s="243">
        <v>2</v>
      </c>
      <c r="J120" s="243"/>
      <c r="K120" s="243"/>
      <c r="L120" s="243">
        <v>0.14000000000000001</v>
      </c>
      <c r="M120" s="243">
        <v>35.06</v>
      </c>
      <c r="N120" s="249">
        <v>39.200000000000003</v>
      </c>
      <c r="O120" s="318">
        <v>2018</v>
      </c>
      <c r="P120" s="310">
        <f t="shared" si="4"/>
        <v>1</v>
      </c>
      <c r="Q120" s="310"/>
      <c r="R120" s="244">
        <v>43070</v>
      </c>
      <c r="S120" s="261" t="str">
        <f t="shared" si="5"/>
        <v>Jan</v>
      </c>
      <c r="T120" s="230" t="s">
        <v>252</v>
      </c>
    </row>
    <row r="121" spans="1:20" x14ac:dyDescent="0.25">
      <c r="A121" s="243">
        <v>8409201001</v>
      </c>
      <c r="B121" s="240" t="str">
        <f>VLOOKUP(A121,'Energy Provider Accounts'!C:F,2,FALSE)</f>
        <v>Majestic Park</v>
      </c>
      <c r="C121" s="243" t="s">
        <v>230</v>
      </c>
      <c r="D121" s="244">
        <v>43130</v>
      </c>
      <c r="E121" s="244">
        <v>43103</v>
      </c>
      <c r="F121" s="243">
        <v>27</v>
      </c>
      <c r="G121" s="243" t="s">
        <v>263</v>
      </c>
      <c r="H121" s="243" t="s">
        <v>254</v>
      </c>
      <c r="I121" s="243">
        <v>1</v>
      </c>
      <c r="J121" s="243"/>
      <c r="K121" s="243"/>
      <c r="L121" s="249">
        <v>0.01</v>
      </c>
      <c r="M121" s="249">
        <v>35</v>
      </c>
      <c r="N121" s="249">
        <v>35.01</v>
      </c>
      <c r="O121" s="318">
        <v>2018</v>
      </c>
      <c r="P121" s="310">
        <f t="shared" si="4"/>
        <v>1</v>
      </c>
      <c r="Q121" s="310"/>
      <c r="R121" s="244">
        <v>43103</v>
      </c>
      <c r="S121" s="261" t="str">
        <f t="shared" si="5"/>
        <v>Jan</v>
      </c>
      <c r="T121" s="230" t="s">
        <v>252</v>
      </c>
    </row>
    <row r="122" spans="1:20" x14ac:dyDescent="0.25">
      <c r="A122" s="243">
        <v>8409201001</v>
      </c>
      <c r="B122" s="240" t="str">
        <f>VLOOKUP(A122,'Energy Provider Accounts'!C:F,2,FALSE)</f>
        <v>Majestic Park</v>
      </c>
      <c r="C122" s="243" t="s">
        <v>230</v>
      </c>
      <c r="D122" s="244">
        <v>43161</v>
      </c>
      <c r="E122" s="244">
        <v>43130</v>
      </c>
      <c r="F122" s="243">
        <v>31</v>
      </c>
      <c r="G122" s="243" t="s">
        <v>256</v>
      </c>
      <c r="H122" s="243" t="s">
        <v>254</v>
      </c>
      <c r="I122" s="243">
        <v>1</v>
      </c>
      <c r="J122" s="243"/>
      <c r="K122" s="243"/>
      <c r="L122" s="249">
        <v>0.1</v>
      </c>
      <c r="M122" s="243">
        <v>35.04</v>
      </c>
      <c r="N122" s="243">
        <v>35.14</v>
      </c>
      <c r="O122" s="318">
        <v>2018</v>
      </c>
      <c r="P122" s="310">
        <v>2</v>
      </c>
      <c r="Q122" s="310"/>
      <c r="R122" s="244">
        <v>43130</v>
      </c>
      <c r="S122" s="261" t="str">
        <f t="shared" si="5"/>
        <v>Feb</v>
      </c>
      <c r="T122" s="230" t="s">
        <v>252</v>
      </c>
    </row>
    <row r="123" spans="1:20" x14ac:dyDescent="0.25">
      <c r="A123" s="243">
        <v>8409201001</v>
      </c>
      <c r="B123" s="240" t="str">
        <f>VLOOKUP(A123,'Energy Provider Accounts'!C:F,2,FALSE)</f>
        <v>Majestic Park</v>
      </c>
      <c r="C123" s="243" t="s">
        <v>230</v>
      </c>
      <c r="D123" s="244">
        <v>43192</v>
      </c>
      <c r="E123" s="244">
        <v>43161</v>
      </c>
      <c r="F123" s="243">
        <v>31</v>
      </c>
      <c r="G123" s="243" t="s">
        <v>263</v>
      </c>
      <c r="H123" s="243" t="s">
        <v>254</v>
      </c>
      <c r="I123" s="243">
        <v>3</v>
      </c>
      <c r="J123" s="243"/>
      <c r="K123" s="243"/>
      <c r="L123" s="243">
        <v>0.21</v>
      </c>
      <c r="M123" s="243">
        <v>35.11</v>
      </c>
      <c r="N123" s="243">
        <v>35.32</v>
      </c>
      <c r="O123" s="318">
        <v>2018</v>
      </c>
      <c r="P123" s="310">
        <v>3</v>
      </c>
      <c r="Q123" s="310"/>
      <c r="R123" s="244">
        <v>43161</v>
      </c>
      <c r="S123" s="261" t="str">
        <f t="shared" si="5"/>
        <v>Mar</v>
      </c>
    </row>
    <row r="124" spans="1:20" x14ac:dyDescent="0.25">
      <c r="A124" s="243">
        <v>8409201001</v>
      </c>
      <c r="B124" s="240" t="str">
        <f>VLOOKUP(A124,'Energy Provider Accounts'!C:F,2,FALSE)</f>
        <v>Majestic Park</v>
      </c>
      <c r="C124" s="243" t="s">
        <v>230</v>
      </c>
      <c r="D124" s="244">
        <v>43222</v>
      </c>
      <c r="E124" s="244">
        <v>43192</v>
      </c>
      <c r="F124" s="243">
        <v>30</v>
      </c>
      <c r="G124" s="243" t="s">
        <v>256</v>
      </c>
      <c r="H124" s="243" t="s">
        <v>254</v>
      </c>
      <c r="I124" s="243" t="s">
        <v>264</v>
      </c>
      <c r="J124" s="243"/>
      <c r="K124" s="243"/>
      <c r="L124" s="243" t="s">
        <v>264</v>
      </c>
      <c r="M124" s="243" t="s">
        <v>264</v>
      </c>
      <c r="N124" s="243" t="s">
        <v>264</v>
      </c>
      <c r="O124" s="318">
        <v>2018</v>
      </c>
      <c r="P124" s="310">
        <v>4</v>
      </c>
      <c r="Q124" s="310"/>
      <c r="R124" s="244">
        <v>43192</v>
      </c>
      <c r="S124" s="240" t="s">
        <v>84</v>
      </c>
      <c r="T124" s="230" t="s">
        <v>252</v>
      </c>
    </row>
    <row r="125" spans="1:20" x14ac:dyDescent="0.25">
      <c r="A125" s="243">
        <v>8409201001</v>
      </c>
      <c r="B125" s="240" t="str">
        <f>VLOOKUP(A125,'Energy Provider Accounts'!C:F,2,FALSE)</f>
        <v>Majestic Park</v>
      </c>
      <c r="C125" s="243" t="s">
        <v>230</v>
      </c>
      <c r="D125" s="244">
        <v>43255</v>
      </c>
      <c r="E125" s="244">
        <v>43192</v>
      </c>
      <c r="F125" s="243">
        <v>63</v>
      </c>
      <c r="G125" s="243" t="s">
        <v>263</v>
      </c>
      <c r="H125" s="243" t="s">
        <v>254</v>
      </c>
      <c r="I125" s="243">
        <v>23</v>
      </c>
      <c r="J125" s="243"/>
      <c r="K125" s="243"/>
      <c r="L125" s="243">
        <v>1.75</v>
      </c>
      <c r="M125" s="243">
        <v>70.87</v>
      </c>
      <c r="N125" s="243">
        <v>72.62</v>
      </c>
      <c r="O125" s="318">
        <v>2018</v>
      </c>
      <c r="P125" s="310">
        <v>5</v>
      </c>
      <c r="Q125" s="310"/>
      <c r="R125" s="244">
        <v>43192</v>
      </c>
      <c r="S125" s="240" t="s">
        <v>85</v>
      </c>
      <c r="T125" s="230" t="s">
        <v>252</v>
      </c>
    </row>
    <row r="126" spans="1:20" x14ac:dyDescent="0.25">
      <c r="A126" s="243">
        <v>8409201001</v>
      </c>
      <c r="B126" s="240" t="str">
        <f>VLOOKUP(A126,'Energy Provider Accounts'!C:F,2,FALSE)</f>
        <v>Majestic Park</v>
      </c>
      <c r="C126" s="243" t="s">
        <v>230</v>
      </c>
      <c r="D126" s="244">
        <v>43283</v>
      </c>
      <c r="E126" s="244">
        <v>43255</v>
      </c>
      <c r="F126" s="243">
        <v>28</v>
      </c>
      <c r="G126" s="243" t="s">
        <v>256</v>
      </c>
      <c r="H126" s="243" t="s">
        <v>254</v>
      </c>
      <c r="I126" s="243">
        <v>23</v>
      </c>
      <c r="J126" s="243"/>
      <c r="K126" s="243"/>
      <c r="L126" s="243">
        <v>1.69</v>
      </c>
      <c r="M126" s="243">
        <v>35.78</v>
      </c>
      <c r="N126" s="243">
        <v>37.47</v>
      </c>
      <c r="O126" s="318">
        <v>2018</v>
      </c>
      <c r="P126" s="310">
        <v>6</v>
      </c>
      <c r="Q126" s="310"/>
      <c r="R126" s="244" t="s">
        <v>266</v>
      </c>
      <c r="S126" s="240" t="s">
        <v>86</v>
      </c>
      <c r="T126" s="230" t="s">
        <v>252</v>
      </c>
    </row>
    <row r="127" spans="1:20" x14ac:dyDescent="0.25">
      <c r="A127" s="243">
        <v>8409201001</v>
      </c>
      <c r="B127" s="240" t="str">
        <f>VLOOKUP(A127,'Energy Provider Accounts'!C:F,2,FALSE)</f>
        <v>Majestic Park</v>
      </c>
      <c r="C127" s="243" t="s">
        <v>230</v>
      </c>
      <c r="D127" s="244">
        <v>43315</v>
      </c>
      <c r="E127" s="244">
        <v>43283</v>
      </c>
      <c r="F127" s="243">
        <v>33</v>
      </c>
      <c r="G127" s="243" t="s">
        <v>263</v>
      </c>
      <c r="H127" s="243" t="s">
        <v>254</v>
      </c>
      <c r="I127" s="243">
        <v>204</v>
      </c>
      <c r="J127" s="243">
        <v>2.6</v>
      </c>
      <c r="K127" s="243"/>
      <c r="L127" s="243">
        <v>12.63</v>
      </c>
      <c r="M127" s="243">
        <v>40.98</v>
      </c>
      <c r="N127" s="243">
        <v>53.61</v>
      </c>
      <c r="O127" s="318">
        <v>2018</v>
      </c>
      <c r="P127" s="310">
        <v>7</v>
      </c>
      <c r="Q127" s="310"/>
      <c r="R127" s="244">
        <v>43283</v>
      </c>
      <c r="S127" s="261" t="s">
        <v>87</v>
      </c>
      <c r="T127" s="230" t="s">
        <v>252</v>
      </c>
    </row>
    <row r="128" spans="1:20" x14ac:dyDescent="0.25">
      <c r="A128" s="243">
        <v>8409201001</v>
      </c>
      <c r="B128" s="240" t="str">
        <f>VLOOKUP(A128,'Energy Provider Accounts'!C:F,2,FALSE)</f>
        <v>Majestic Park</v>
      </c>
      <c r="C128" s="243" t="s">
        <v>230</v>
      </c>
      <c r="D128" s="244">
        <v>43342</v>
      </c>
      <c r="E128" s="244">
        <v>43315</v>
      </c>
      <c r="F128" s="243">
        <v>28</v>
      </c>
      <c r="G128" s="243" t="s">
        <v>256</v>
      </c>
      <c r="H128" s="243" t="s">
        <v>254</v>
      </c>
      <c r="I128" s="243">
        <v>17</v>
      </c>
      <c r="J128" s="243"/>
      <c r="K128" s="243"/>
      <c r="L128" s="243">
        <v>1.39</v>
      </c>
      <c r="M128" s="243">
        <v>32.71</v>
      </c>
      <c r="N128" s="243">
        <v>34.1</v>
      </c>
      <c r="O128" s="318">
        <v>2018</v>
      </c>
      <c r="P128" s="310">
        <v>8</v>
      </c>
      <c r="Q128" s="310"/>
      <c r="R128" s="244">
        <v>43315</v>
      </c>
      <c r="S128" s="261" t="s">
        <v>88</v>
      </c>
      <c r="T128" s="230" t="s">
        <v>252</v>
      </c>
    </row>
    <row r="129" spans="1:20" x14ac:dyDescent="0.25">
      <c r="A129" s="243">
        <v>8409201001</v>
      </c>
      <c r="B129" s="240" t="str">
        <f>VLOOKUP(A129,'Energy Provider Accounts'!C:F,2,FALSE)</f>
        <v>Majestic Park</v>
      </c>
      <c r="C129" s="243" t="s">
        <v>230</v>
      </c>
      <c r="D129" s="244">
        <v>43376</v>
      </c>
      <c r="E129" s="244">
        <v>43342</v>
      </c>
      <c r="F129" s="243">
        <v>34</v>
      </c>
      <c r="G129" s="243" t="s">
        <v>263</v>
      </c>
      <c r="H129" s="243" t="s">
        <v>254</v>
      </c>
      <c r="I129" s="243">
        <v>198</v>
      </c>
      <c r="J129" s="243">
        <v>1.4</v>
      </c>
      <c r="K129" s="243"/>
      <c r="L129" s="243">
        <v>18.010000000000002</v>
      </c>
      <c r="M129" s="243">
        <v>39.950000000000003</v>
      </c>
      <c r="N129" s="243">
        <v>57.96</v>
      </c>
      <c r="O129" s="318">
        <v>2018</v>
      </c>
      <c r="P129" s="310">
        <v>9</v>
      </c>
      <c r="Q129" s="310"/>
      <c r="R129" s="244">
        <v>43342</v>
      </c>
      <c r="S129" s="261" t="s">
        <v>89</v>
      </c>
      <c r="T129" s="230" t="s">
        <v>252</v>
      </c>
    </row>
    <row r="130" spans="1:20" x14ac:dyDescent="0.25">
      <c r="A130" s="243">
        <v>8409201001</v>
      </c>
      <c r="B130" s="240" t="str">
        <f>VLOOKUP(A130,'Energy Provider Accounts'!C:F,2,FALSE)</f>
        <v>Majestic Park</v>
      </c>
      <c r="C130" s="243" t="s">
        <v>230</v>
      </c>
      <c r="D130" s="244">
        <v>43403</v>
      </c>
      <c r="E130" s="244">
        <v>43376</v>
      </c>
      <c r="F130" s="243">
        <v>27</v>
      </c>
      <c r="G130" s="243" t="s">
        <v>256</v>
      </c>
      <c r="H130" s="243" t="s">
        <v>254</v>
      </c>
      <c r="I130" s="243">
        <v>1</v>
      </c>
      <c r="J130" s="243"/>
      <c r="K130" s="243"/>
      <c r="L130" s="249">
        <v>0.1</v>
      </c>
      <c r="M130" s="243">
        <v>32.04</v>
      </c>
      <c r="N130" s="243">
        <v>32.14</v>
      </c>
      <c r="O130" s="318">
        <v>2018</v>
      </c>
      <c r="P130" s="310">
        <v>10</v>
      </c>
      <c r="Q130" s="310"/>
      <c r="R130" s="244">
        <v>43403</v>
      </c>
      <c r="S130" s="261" t="s">
        <v>269</v>
      </c>
      <c r="T130" s="230" t="s">
        <v>252</v>
      </c>
    </row>
    <row r="131" spans="1:20" x14ac:dyDescent="0.25">
      <c r="A131" s="243">
        <v>8409201001</v>
      </c>
      <c r="B131" s="240" t="str">
        <f>VLOOKUP(A131,'Energy Provider Accounts'!C:F,2,FALSE)</f>
        <v>Majestic Park</v>
      </c>
      <c r="C131" s="243" t="s">
        <v>230</v>
      </c>
      <c r="D131" s="244">
        <v>43434</v>
      </c>
      <c r="E131" s="244">
        <v>43403</v>
      </c>
      <c r="F131" s="243">
        <v>31</v>
      </c>
      <c r="G131" s="243" t="s">
        <v>263</v>
      </c>
      <c r="H131" s="243" t="s">
        <v>254</v>
      </c>
      <c r="I131" s="243">
        <v>176</v>
      </c>
      <c r="J131" s="243">
        <v>1.1000000000000001</v>
      </c>
      <c r="K131" s="243"/>
      <c r="L131" s="249">
        <v>10.4</v>
      </c>
      <c r="M131" s="243">
        <v>39.19</v>
      </c>
      <c r="N131" s="243">
        <v>49.59</v>
      </c>
      <c r="O131" s="318">
        <v>2018</v>
      </c>
      <c r="P131" s="310">
        <v>11</v>
      </c>
      <c r="Q131" s="310"/>
      <c r="R131" s="244">
        <v>43434</v>
      </c>
      <c r="S131" s="261" t="s">
        <v>91</v>
      </c>
      <c r="T131" s="230" t="s">
        <v>252</v>
      </c>
    </row>
    <row r="132" spans="1:20" x14ac:dyDescent="0.25">
      <c r="A132" s="243">
        <v>8409201001</v>
      </c>
      <c r="B132" s="240" t="str">
        <f>VLOOKUP(A132,'Energy Provider Accounts'!C:F,2,FALSE)</f>
        <v>Majestic Park</v>
      </c>
      <c r="C132" s="243" t="s">
        <v>230</v>
      </c>
      <c r="D132" s="244"/>
      <c r="E132" s="244"/>
      <c r="F132" s="243"/>
      <c r="G132" s="243"/>
      <c r="H132" s="243"/>
      <c r="I132" s="243"/>
      <c r="J132" s="243"/>
      <c r="K132" s="243"/>
      <c r="L132" s="243"/>
      <c r="M132" s="243"/>
      <c r="N132" s="243"/>
      <c r="P132" s="310"/>
      <c r="Q132" s="310"/>
      <c r="R132" s="244"/>
      <c r="S132" s="240"/>
    </row>
    <row r="133" spans="1:20" x14ac:dyDescent="0.25">
      <c r="A133" s="243">
        <v>8409201500</v>
      </c>
      <c r="B133" s="240" t="str">
        <f>VLOOKUP(A133,'Energy Provider Accounts'!C:F,2,FALSE)</f>
        <v>Majestic Park Rec Center</v>
      </c>
      <c r="C133" s="243" t="s">
        <v>230</v>
      </c>
      <c r="D133" s="244">
        <v>42033</v>
      </c>
      <c r="E133" s="248">
        <v>41974</v>
      </c>
      <c r="F133" s="243">
        <v>60</v>
      </c>
      <c r="G133" s="243" t="s">
        <v>251</v>
      </c>
      <c r="H133" s="243" t="s">
        <v>254</v>
      </c>
      <c r="I133" s="243">
        <v>27</v>
      </c>
      <c r="J133" s="250"/>
      <c r="K133" s="250"/>
      <c r="L133" s="243">
        <v>2.35</v>
      </c>
      <c r="M133" s="243">
        <v>70.38</v>
      </c>
      <c r="N133" s="243">
        <v>72.73</v>
      </c>
      <c r="O133">
        <v>2015</v>
      </c>
      <c r="P133" s="310">
        <f t="shared" si="4"/>
        <v>1</v>
      </c>
      <c r="Q133" s="310"/>
      <c r="R133" s="248">
        <v>41974</v>
      </c>
      <c r="S133" s="240" t="str">
        <f t="shared" si="5"/>
        <v>Jan</v>
      </c>
      <c r="T133" s="230" t="s">
        <v>255</v>
      </c>
    </row>
    <row r="134" spans="1:20" x14ac:dyDescent="0.25">
      <c r="A134" s="243">
        <v>8409201500</v>
      </c>
      <c r="B134" s="240" t="str">
        <f>VLOOKUP(A134,'Energy Provider Accounts'!C:F,2,FALSE)</f>
        <v>Majestic Park Rec Center</v>
      </c>
      <c r="C134" s="243" t="s">
        <v>230</v>
      </c>
      <c r="D134" s="244">
        <v>42096</v>
      </c>
      <c r="E134" s="248">
        <v>42033</v>
      </c>
      <c r="F134" s="243">
        <v>63</v>
      </c>
      <c r="G134" s="243" t="s">
        <v>251</v>
      </c>
      <c r="H134" s="243" t="s">
        <v>254</v>
      </c>
      <c r="I134" s="243">
        <v>28</v>
      </c>
      <c r="J134" s="250"/>
      <c r="K134" s="250"/>
      <c r="L134" s="243">
        <v>3.38</v>
      </c>
      <c r="M134" s="243">
        <v>70.41</v>
      </c>
      <c r="N134" s="243">
        <v>73.790000000000006</v>
      </c>
      <c r="O134">
        <v>2015</v>
      </c>
      <c r="P134" s="310">
        <f t="shared" si="4"/>
        <v>4</v>
      </c>
      <c r="Q134" s="310"/>
      <c r="R134" s="248">
        <v>42033</v>
      </c>
      <c r="S134" s="240" t="str">
        <f t="shared" si="5"/>
        <v>Apr</v>
      </c>
      <c r="T134" s="230" t="s">
        <v>255</v>
      </c>
    </row>
    <row r="135" spans="1:20" x14ac:dyDescent="0.25">
      <c r="A135" s="243">
        <v>8409201500</v>
      </c>
      <c r="B135" s="240" t="str">
        <f>VLOOKUP(A135,'Energy Provider Accounts'!C:F,2,FALSE)</f>
        <v>Majestic Park Rec Center</v>
      </c>
      <c r="C135" s="243" t="s">
        <v>230</v>
      </c>
      <c r="D135" s="244">
        <v>42157</v>
      </c>
      <c r="E135" s="248">
        <v>42096</v>
      </c>
      <c r="F135" s="243">
        <v>62</v>
      </c>
      <c r="G135" s="243" t="s">
        <v>251</v>
      </c>
      <c r="H135" s="243" t="s">
        <v>254</v>
      </c>
      <c r="I135" s="243">
        <v>71</v>
      </c>
      <c r="J135" s="250"/>
      <c r="K135" s="250"/>
      <c r="L135" s="243">
        <v>4.3499999999999996</v>
      </c>
      <c r="M135" s="243">
        <v>71.400000000000006</v>
      </c>
      <c r="N135" s="243">
        <v>75.75</v>
      </c>
      <c r="O135">
        <v>2015</v>
      </c>
      <c r="P135" s="310">
        <f t="shared" si="4"/>
        <v>6</v>
      </c>
      <c r="Q135" s="310"/>
      <c r="R135" s="248">
        <v>42096</v>
      </c>
      <c r="S135" s="240" t="str">
        <f t="shared" si="5"/>
        <v>Jun</v>
      </c>
      <c r="T135" s="230" t="s">
        <v>255</v>
      </c>
    </row>
    <row r="136" spans="1:20" x14ac:dyDescent="0.25">
      <c r="A136" s="243">
        <v>8409201500</v>
      </c>
      <c r="B136" s="240" t="str">
        <f>VLOOKUP(A136,'Energy Provider Accounts'!C:F,2,FALSE)</f>
        <v>Majestic Park Rec Center</v>
      </c>
      <c r="C136" s="243" t="s">
        <v>230</v>
      </c>
      <c r="D136" s="244">
        <v>42214</v>
      </c>
      <c r="E136" s="248">
        <v>42157</v>
      </c>
      <c r="F136" s="243">
        <v>57</v>
      </c>
      <c r="G136" s="243" t="s">
        <v>251</v>
      </c>
      <c r="H136" s="243" t="s">
        <v>254</v>
      </c>
      <c r="I136" s="243">
        <v>120</v>
      </c>
      <c r="J136" s="250"/>
      <c r="K136" s="250"/>
      <c r="L136" s="243">
        <v>7.21</v>
      </c>
      <c r="M136" s="243">
        <v>72.06</v>
      </c>
      <c r="N136" s="243">
        <v>79.27</v>
      </c>
      <c r="O136">
        <v>2015</v>
      </c>
      <c r="P136" s="310">
        <f t="shared" si="4"/>
        <v>7</v>
      </c>
      <c r="Q136" s="310"/>
      <c r="R136" s="248">
        <v>42157</v>
      </c>
      <c r="S136" s="240" t="str">
        <f t="shared" si="5"/>
        <v>Jul</v>
      </c>
      <c r="T136" s="230" t="s">
        <v>255</v>
      </c>
    </row>
    <row r="137" spans="1:20" x14ac:dyDescent="0.25">
      <c r="A137" s="243">
        <v>8409201500</v>
      </c>
      <c r="B137" s="240" t="str">
        <f>VLOOKUP(A137,'Energy Provider Accounts'!C:F,2,FALSE)</f>
        <v>Majestic Park Rec Center</v>
      </c>
      <c r="C137" s="243" t="s">
        <v>230</v>
      </c>
      <c r="D137" s="244">
        <v>42279</v>
      </c>
      <c r="E137" s="248">
        <v>42214</v>
      </c>
      <c r="F137" s="243">
        <v>63</v>
      </c>
      <c r="G137" s="243" t="s">
        <v>251</v>
      </c>
      <c r="H137" s="243" t="s">
        <v>254</v>
      </c>
      <c r="I137" s="243">
        <v>252</v>
      </c>
      <c r="J137" s="250"/>
      <c r="K137" s="250"/>
      <c r="L137" s="243">
        <v>20.260000000000002</v>
      </c>
      <c r="M137" s="243">
        <v>74.459999999999994</v>
      </c>
      <c r="N137" s="243">
        <v>94.72</v>
      </c>
      <c r="O137">
        <v>2015</v>
      </c>
      <c r="P137" s="310">
        <f t="shared" si="4"/>
        <v>10</v>
      </c>
      <c r="Q137" s="310"/>
      <c r="R137" s="248">
        <v>42214</v>
      </c>
      <c r="S137" s="240" t="str">
        <f t="shared" si="5"/>
        <v>Oct</v>
      </c>
      <c r="T137" s="230" t="s">
        <v>255</v>
      </c>
    </row>
    <row r="138" spans="1:20" x14ac:dyDescent="0.25">
      <c r="A138" s="243">
        <v>8409201500</v>
      </c>
      <c r="B138" s="240" t="str">
        <f>VLOOKUP(A138,'Energy Provider Accounts'!C:F,2,FALSE)</f>
        <v>Majestic Park Rec Center</v>
      </c>
      <c r="C138" s="243" t="s">
        <v>230</v>
      </c>
      <c r="D138" s="244">
        <v>42339</v>
      </c>
      <c r="E138" s="248">
        <v>42326</v>
      </c>
      <c r="F138" s="243">
        <v>61</v>
      </c>
      <c r="G138" s="243" t="s">
        <v>251</v>
      </c>
      <c r="H138" s="243" t="s">
        <v>254</v>
      </c>
      <c r="I138" s="243">
        <v>70</v>
      </c>
      <c r="J138" s="250"/>
      <c r="K138" s="250"/>
      <c r="L138" s="243">
        <v>4.7699999999999996</v>
      </c>
      <c r="M138" s="243">
        <v>71.319999999999993</v>
      </c>
      <c r="N138" s="243">
        <v>76.09</v>
      </c>
      <c r="O138">
        <v>2015</v>
      </c>
      <c r="P138" s="310">
        <f t="shared" si="4"/>
        <v>12</v>
      </c>
      <c r="Q138" s="310"/>
      <c r="R138" s="248">
        <v>42326</v>
      </c>
      <c r="S138" s="240" t="str">
        <f t="shared" si="5"/>
        <v>Dec</v>
      </c>
      <c r="T138" s="230" t="s">
        <v>255</v>
      </c>
    </row>
    <row r="139" spans="1:20" x14ac:dyDescent="0.25">
      <c r="A139" s="243">
        <v>8409201500</v>
      </c>
      <c r="B139" s="240" t="str">
        <f>VLOOKUP(A139,'Energy Provider Accounts'!C:F,2,FALSE)</f>
        <v>Majestic Park Rec Center</v>
      </c>
      <c r="C139" s="243" t="s">
        <v>230</v>
      </c>
      <c r="D139" s="244">
        <v>42398</v>
      </c>
      <c r="E139" s="248">
        <v>42339</v>
      </c>
      <c r="F139" s="243">
        <v>60</v>
      </c>
      <c r="G139" s="243" t="s">
        <v>253</v>
      </c>
      <c r="H139" s="243" t="s">
        <v>254</v>
      </c>
      <c r="I139" s="243">
        <v>26</v>
      </c>
      <c r="J139" s="243">
        <v>0</v>
      </c>
      <c r="K139" s="243">
        <v>0</v>
      </c>
      <c r="L139" s="243">
        <v>2.94</v>
      </c>
      <c r="M139" s="243">
        <v>68.94</v>
      </c>
      <c r="N139" s="243">
        <v>71.91</v>
      </c>
      <c r="O139">
        <v>2016</v>
      </c>
      <c r="P139" s="310">
        <f t="shared" si="4"/>
        <v>1</v>
      </c>
      <c r="Q139" s="310"/>
      <c r="R139" s="248">
        <v>42339</v>
      </c>
      <c r="S139" s="240" t="str">
        <f t="shared" si="5"/>
        <v>Jan</v>
      </c>
      <c r="T139" s="230" t="s">
        <v>255</v>
      </c>
    </row>
    <row r="140" spans="1:20" x14ac:dyDescent="0.25">
      <c r="A140" s="243">
        <v>8409201500</v>
      </c>
      <c r="B140" s="240" t="str">
        <f>VLOOKUP(A140,'Energy Provider Accounts'!C:F,2,FALSE)</f>
        <v>Majestic Park Rec Center</v>
      </c>
      <c r="C140" s="243" t="s">
        <v>230</v>
      </c>
      <c r="D140" s="244">
        <v>42459</v>
      </c>
      <c r="E140" s="244">
        <v>42399</v>
      </c>
      <c r="F140" s="243">
        <v>60</v>
      </c>
      <c r="G140" s="243" t="s">
        <v>253</v>
      </c>
      <c r="H140" s="243" t="s">
        <v>254</v>
      </c>
      <c r="I140" s="243">
        <v>27</v>
      </c>
      <c r="J140" s="243">
        <v>0</v>
      </c>
      <c r="K140" s="243">
        <v>0</v>
      </c>
      <c r="L140" s="243">
        <v>4.41</v>
      </c>
      <c r="M140" s="243">
        <v>68.27</v>
      </c>
      <c r="N140" s="249">
        <v>72.7</v>
      </c>
      <c r="O140">
        <v>2016</v>
      </c>
      <c r="P140" s="310">
        <f t="shared" si="4"/>
        <v>3</v>
      </c>
      <c r="Q140" s="310"/>
      <c r="R140" s="244">
        <v>42399</v>
      </c>
      <c r="S140" s="240" t="str">
        <f t="shared" si="5"/>
        <v>Mar</v>
      </c>
      <c r="T140" s="230" t="s">
        <v>255</v>
      </c>
    </row>
    <row r="141" spans="1:20" x14ac:dyDescent="0.25">
      <c r="A141" s="243">
        <v>8409201500</v>
      </c>
      <c r="B141" s="240" t="str">
        <f>VLOOKUP(A141,'Energy Provider Accounts'!C:F,2,FALSE)</f>
        <v>Majestic Park Rec Center</v>
      </c>
      <c r="C141" s="243" t="s">
        <v>230</v>
      </c>
      <c r="D141" s="244">
        <v>42521</v>
      </c>
      <c r="E141" s="244">
        <v>42461</v>
      </c>
      <c r="F141" s="243">
        <v>60</v>
      </c>
      <c r="G141" s="243" t="s">
        <v>253</v>
      </c>
      <c r="H141" s="243" t="s">
        <v>254</v>
      </c>
      <c r="I141" s="243">
        <v>28</v>
      </c>
      <c r="J141" s="243">
        <v>0</v>
      </c>
      <c r="K141" s="243">
        <v>0</v>
      </c>
      <c r="L141" s="243">
        <v>3.7</v>
      </c>
      <c r="M141" s="243">
        <v>68.62</v>
      </c>
      <c r="N141" s="243">
        <v>72.34</v>
      </c>
      <c r="O141">
        <v>2016</v>
      </c>
      <c r="P141" s="310">
        <f t="shared" si="4"/>
        <v>5</v>
      </c>
      <c r="Q141" s="310"/>
      <c r="R141" s="244">
        <v>42461</v>
      </c>
      <c r="S141" s="240" t="str">
        <f t="shared" si="5"/>
        <v>May</v>
      </c>
      <c r="T141" s="230" t="s">
        <v>255</v>
      </c>
    </row>
    <row r="142" spans="1:20" x14ac:dyDescent="0.25">
      <c r="A142" s="243">
        <v>8409201500</v>
      </c>
      <c r="B142" s="240" t="str">
        <f>VLOOKUP(A142,'Energy Provider Accounts'!C:F,2,FALSE)</f>
        <v>Majestic Park Rec Center</v>
      </c>
      <c r="C142" s="243" t="s">
        <v>230</v>
      </c>
      <c r="D142" s="244">
        <v>42552</v>
      </c>
      <c r="E142" s="244">
        <v>42522</v>
      </c>
      <c r="F142" s="243">
        <v>30</v>
      </c>
      <c r="G142" s="243" t="s">
        <v>256</v>
      </c>
      <c r="H142" s="243" t="s">
        <v>254</v>
      </c>
      <c r="I142" s="243">
        <v>62</v>
      </c>
      <c r="J142" s="243">
        <v>0</v>
      </c>
      <c r="K142" s="243">
        <v>0</v>
      </c>
      <c r="L142" s="243">
        <v>7.87</v>
      </c>
      <c r="M142" s="243">
        <v>32.07</v>
      </c>
      <c r="N142" s="243">
        <v>39.94</v>
      </c>
      <c r="O142">
        <v>2016</v>
      </c>
      <c r="P142" s="310">
        <f t="shared" si="4"/>
        <v>7</v>
      </c>
      <c r="Q142" s="310"/>
      <c r="R142" s="244">
        <v>42522</v>
      </c>
      <c r="S142" s="240" t="str">
        <f t="shared" si="5"/>
        <v>Jul</v>
      </c>
      <c r="T142" s="230" t="s">
        <v>255</v>
      </c>
    </row>
    <row r="143" spans="1:20" x14ac:dyDescent="0.25">
      <c r="A143" s="243">
        <v>8409201500</v>
      </c>
      <c r="B143" s="240" t="str">
        <f>VLOOKUP(A143,'Energy Provider Accounts'!C:F,2,FALSE)</f>
        <v>Majestic Park Rec Center</v>
      </c>
      <c r="C143" s="243" t="s">
        <v>230</v>
      </c>
      <c r="D143" s="244">
        <v>42584</v>
      </c>
      <c r="E143" s="244">
        <v>42554</v>
      </c>
      <c r="F143" s="243">
        <v>30</v>
      </c>
      <c r="G143" s="243" t="s">
        <v>253</v>
      </c>
      <c r="H143" s="243" t="s">
        <v>254</v>
      </c>
      <c r="I143" s="243">
        <v>70</v>
      </c>
      <c r="J143" s="243">
        <v>0</v>
      </c>
      <c r="K143" s="243">
        <v>0</v>
      </c>
      <c r="L143" s="243">
        <v>7.55</v>
      </c>
      <c r="M143" s="243">
        <v>33.03</v>
      </c>
      <c r="N143" s="243">
        <v>40.590000000000003</v>
      </c>
      <c r="O143">
        <v>2016</v>
      </c>
      <c r="P143" s="310">
        <f t="shared" si="4"/>
        <v>8</v>
      </c>
      <c r="Q143" s="310"/>
      <c r="R143" s="244">
        <v>42554</v>
      </c>
      <c r="S143" s="240" t="str">
        <f t="shared" si="5"/>
        <v>Aug</v>
      </c>
      <c r="T143" s="230" t="s">
        <v>255</v>
      </c>
    </row>
    <row r="144" spans="1:20" x14ac:dyDescent="0.25">
      <c r="A144" s="243">
        <v>8409201500</v>
      </c>
      <c r="B144" s="240" t="str">
        <f>VLOOKUP(A144,'Energy Provider Accounts'!C:F,2,FALSE)</f>
        <v>Majestic Park Rec Center</v>
      </c>
      <c r="C144" s="243" t="s">
        <v>230</v>
      </c>
      <c r="D144" s="244">
        <v>42613</v>
      </c>
      <c r="E144" s="244">
        <v>42583</v>
      </c>
      <c r="F144" s="243">
        <v>30</v>
      </c>
      <c r="G144" s="243" t="s">
        <v>256</v>
      </c>
      <c r="H144" s="243" t="s">
        <v>254</v>
      </c>
      <c r="I144" s="243">
        <v>121</v>
      </c>
      <c r="J144" s="243">
        <v>0</v>
      </c>
      <c r="K144" s="243">
        <v>0</v>
      </c>
      <c r="L144" s="243">
        <v>18.57</v>
      </c>
      <c r="M144" s="243">
        <v>28.91</v>
      </c>
      <c r="N144" s="243">
        <v>47.49</v>
      </c>
      <c r="O144">
        <v>2016</v>
      </c>
      <c r="P144" s="310">
        <f t="shared" si="4"/>
        <v>8</v>
      </c>
      <c r="Q144" s="310"/>
      <c r="R144" s="244">
        <v>42583</v>
      </c>
      <c r="S144" s="240" t="str">
        <f t="shared" si="5"/>
        <v>Aug</v>
      </c>
      <c r="T144" s="230" t="s">
        <v>255</v>
      </c>
    </row>
    <row r="145" spans="1:20" x14ac:dyDescent="0.25">
      <c r="A145" s="243">
        <v>8409201500</v>
      </c>
      <c r="B145" s="240" t="str">
        <f>VLOOKUP(A145,'Energy Provider Accounts'!C:F,2,FALSE)</f>
        <v>Majestic Park Rec Center</v>
      </c>
      <c r="C145" s="243" t="s">
        <v>230</v>
      </c>
      <c r="D145" s="244">
        <v>42646</v>
      </c>
      <c r="E145" s="244">
        <v>42616</v>
      </c>
      <c r="F145" s="243">
        <v>30</v>
      </c>
      <c r="G145" s="243" t="s">
        <v>253</v>
      </c>
      <c r="H145" s="243" t="s">
        <v>254</v>
      </c>
      <c r="I145" s="243">
        <v>55</v>
      </c>
      <c r="J145" s="243">
        <v>0</v>
      </c>
      <c r="K145" s="243">
        <v>0</v>
      </c>
      <c r="L145" s="243">
        <v>7.26</v>
      </c>
      <c r="M145" s="243">
        <v>32.83</v>
      </c>
      <c r="N145" s="249">
        <v>40.1</v>
      </c>
      <c r="O145">
        <v>2016</v>
      </c>
      <c r="P145" s="310">
        <f t="shared" si="4"/>
        <v>10</v>
      </c>
      <c r="Q145" s="310"/>
      <c r="R145" s="244">
        <v>42616</v>
      </c>
      <c r="S145" s="240" t="str">
        <f t="shared" si="5"/>
        <v>Oct</v>
      </c>
      <c r="T145" s="230" t="s">
        <v>255</v>
      </c>
    </row>
    <row r="146" spans="1:20" x14ac:dyDescent="0.25">
      <c r="A146" s="243">
        <v>8409201500</v>
      </c>
      <c r="B146" s="240" t="str">
        <f>VLOOKUP(A146,'Energy Provider Accounts'!C:F,2,FALSE)</f>
        <v>Majestic Park Rec Center</v>
      </c>
      <c r="C146" s="243" t="s">
        <v>230</v>
      </c>
      <c r="D146" s="244">
        <v>42674</v>
      </c>
      <c r="E146" s="244">
        <v>42644</v>
      </c>
      <c r="F146" s="243">
        <v>30</v>
      </c>
      <c r="G146" s="243" t="s">
        <v>256</v>
      </c>
      <c r="H146" s="243" t="s">
        <v>254</v>
      </c>
      <c r="I146" s="243">
        <v>32</v>
      </c>
      <c r="J146" s="243">
        <v>0</v>
      </c>
      <c r="K146" s="243">
        <v>0</v>
      </c>
      <c r="L146" s="243">
        <v>3.63</v>
      </c>
      <c r="M146" s="243">
        <v>34.049999999999997</v>
      </c>
      <c r="N146" s="243">
        <v>37.68</v>
      </c>
      <c r="O146">
        <v>2016</v>
      </c>
      <c r="P146" s="310">
        <f t="shared" si="4"/>
        <v>10</v>
      </c>
      <c r="Q146" s="310"/>
      <c r="R146" s="244">
        <v>42644</v>
      </c>
      <c r="S146" s="240" t="str">
        <f t="shared" si="5"/>
        <v>Oct</v>
      </c>
      <c r="T146" s="230" t="s">
        <v>255</v>
      </c>
    </row>
    <row r="147" spans="1:20" x14ac:dyDescent="0.25">
      <c r="A147" s="243">
        <v>8409201500</v>
      </c>
      <c r="B147" s="240" t="str">
        <f>VLOOKUP(A147,'Energy Provider Accounts'!C:F,2,FALSE)</f>
        <v>Majestic Park Rec Center</v>
      </c>
      <c r="C147" s="243" t="s">
        <v>230</v>
      </c>
      <c r="D147" s="244">
        <v>42705</v>
      </c>
      <c r="E147" s="244">
        <v>42675</v>
      </c>
      <c r="F147" s="243">
        <v>30</v>
      </c>
      <c r="G147" s="243" t="s">
        <v>253</v>
      </c>
      <c r="H147" s="243" t="s">
        <v>254</v>
      </c>
      <c r="I147" s="243">
        <v>119</v>
      </c>
      <c r="J147" s="243">
        <v>0</v>
      </c>
      <c r="K147" s="243">
        <v>0</v>
      </c>
      <c r="L147" s="243">
        <v>16.95</v>
      </c>
      <c r="M147" s="243">
        <v>29.68</v>
      </c>
      <c r="N147" s="243">
        <v>46.64</v>
      </c>
      <c r="O147">
        <v>2016</v>
      </c>
      <c r="P147" s="310">
        <f t="shared" si="4"/>
        <v>12</v>
      </c>
      <c r="Q147" s="310"/>
      <c r="R147" s="244">
        <v>42675</v>
      </c>
      <c r="S147" s="240" t="str">
        <f t="shared" si="5"/>
        <v>Dec</v>
      </c>
      <c r="T147" s="230" t="s">
        <v>255</v>
      </c>
    </row>
    <row r="148" spans="1:20" x14ac:dyDescent="0.25">
      <c r="A148" s="243">
        <v>8409201500</v>
      </c>
      <c r="B148" s="240" t="str">
        <f>VLOOKUP(A148,'Energy Provider Accounts'!C:F,2,FALSE)</f>
        <v>Majestic Park Rec Center</v>
      </c>
      <c r="C148" s="243" t="s">
        <v>230</v>
      </c>
      <c r="D148" s="244">
        <v>42739</v>
      </c>
      <c r="E148" s="244">
        <v>42709</v>
      </c>
      <c r="F148" s="243">
        <v>30</v>
      </c>
      <c r="G148" s="243" t="s">
        <v>256</v>
      </c>
      <c r="H148" s="243" t="s">
        <v>254</v>
      </c>
      <c r="I148" s="243">
        <v>14</v>
      </c>
      <c r="J148" s="243">
        <v>0</v>
      </c>
      <c r="K148" s="243">
        <v>0</v>
      </c>
      <c r="L148" s="243">
        <v>1.59</v>
      </c>
      <c r="M148" s="243">
        <v>34.57</v>
      </c>
      <c r="N148" s="243">
        <v>36.17</v>
      </c>
      <c r="O148">
        <v>2017</v>
      </c>
      <c r="P148" s="310">
        <f t="shared" si="4"/>
        <v>1</v>
      </c>
      <c r="Q148" s="310"/>
      <c r="R148" s="244">
        <v>42709</v>
      </c>
      <c r="S148" s="240" t="str">
        <f t="shared" si="5"/>
        <v>Jan</v>
      </c>
      <c r="T148" s="230" t="s">
        <v>255</v>
      </c>
    </row>
    <row r="149" spans="1:20" x14ac:dyDescent="0.25">
      <c r="A149" s="243">
        <v>8409201500</v>
      </c>
      <c r="B149" s="240" t="str">
        <f>VLOOKUP(A149,'Energy Provider Accounts'!C:F,2,FALSE)</f>
        <v>Majestic Park Rec Center</v>
      </c>
      <c r="C149" s="243" t="s">
        <v>230</v>
      </c>
      <c r="D149" s="244">
        <v>42767</v>
      </c>
      <c r="E149" s="244">
        <v>42737</v>
      </c>
      <c r="F149" s="243">
        <v>30</v>
      </c>
      <c r="G149" s="243" t="s">
        <v>253</v>
      </c>
      <c r="H149" s="243" t="s">
        <v>254</v>
      </c>
      <c r="I149" s="243">
        <v>285</v>
      </c>
      <c r="J149" s="243">
        <v>0</v>
      </c>
      <c r="K149" s="243">
        <v>0</v>
      </c>
      <c r="L149" s="243">
        <v>39.6</v>
      </c>
      <c r="M149" s="243">
        <v>20.28</v>
      </c>
      <c r="N149" s="243">
        <v>59.91</v>
      </c>
      <c r="O149">
        <v>2017</v>
      </c>
      <c r="P149" s="310">
        <f t="shared" si="4"/>
        <v>2</v>
      </c>
      <c r="Q149" s="310"/>
      <c r="R149" s="244">
        <v>42737</v>
      </c>
      <c r="S149" s="240" t="str">
        <f t="shared" si="5"/>
        <v>Feb</v>
      </c>
      <c r="T149" s="230" t="s">
        <v>252</v>
      </c>
    </row>
    <row r="150" spans="1:20" x14ac:dyDescent="0.25">
      <c r="A150" s="243">
        <v>8409201500</v>
      </c>
      <c r="B150" s="240" t="str">
        <f>VLOOKUP(A150,'Energy Provider Accounts'!C:F,2,FALSE)</f>
        <v>Majestic Park Rec Center</v>
      </c>
      <c r="C150" s="243" t="s">
        <v>230</v>
      </c>
      <c r="D150" s="244">
        <v>42797</v>
      </c>
      <c r="E150" s="244">
        <v>42767</v>
      </c>
      <c r="F150" s="243">
        <v>30</v>
      </c>
      <c r="G150" s="243" t="s">
        <v>256</v>
      </c>
      <c r="H150" s="243" t="s">
        <v>254</v>
      </c>
      <c r="I150" s="243">
        <v>13</v>
      </c>
      <c r="J150" s="243">
        <v>0</v>
      </c>
      <c r="K150" s="243">
        <v>0</v>
      </c>
      <c r="L150" s="243">
        <v>1.92</v>
      </c>
      <c r="M150" s="243">
        <v>34.28</v>
      </c>
      <c r="N150" s="243">
        <v>36.22</v>
      </c>
      <c r="O150">
        <v>2017</v>
      </c>
      <c r="P150" s="310">
        <f t="shared" si="4"/>
        <v>3</v>
      </c>
      <c r="Q150" s="310"/>
      <c r="R150" s="244">
        <v>42767</v>
      </c>
      <c r="S150" s="240" t="str">
        <f t="shared" si="5"/>
        <v>Mar</v>
      </c>
      <c r="T150" s="230" t="s">
        <v>252</v>
      </c>
    </row>
    <row r="151" spans="1:20" x14ac:dyDescent="0.25">
      <c r="A151" s="243">
        <v>8409201500</v>
      </c>
      <c r="B151" s="240" t="str">
        <f>VLOOKUP(A151,'Energy Provider Accounts'!C:F,2,FALSE)</f>
        <v>Majestic Park Rec Center</v>
      </c>
      <c r="C151" s="243" t="s">
        <v>230</v>
      </c>
      <c r="D151" s="244">
        <v>42825</v>
      </c>
      <c r="E151" s="244">
        <v>42795</v>
      </c>
      <c r="F151" s="243">
        <v>30</v>
      </c>
      <c r="G151" s="243" t="s">
        <v>253</v>
      </c>
      <c r="H151" s="243" t="s">
        <v>254</v>
      </c>
      <c r="I151" s="243">
        <v>257</v>
      </c>
      <c r="J151" s="243">
        <v>0</v>
      </c>
      <c r="K151" s="243">
        <v>0</v>
      </c>
      <c r="L151" s="243">
        <v>29.57</v>
      </c>
      <c r="M151" s="243">
        <v>25.06</v>
      </c>
      <c r="N151" s="243">
        <v>54.65</v>
      </c>
      <c r="O151">
        <v>2017</v>
      </c>
      <c r="P151" s="310">
        <f t="shared" si="4"/>
        <v>3</v>
      </c>
      <c r="Q151" s="310"/>
      <c r="R151" s="244">
        <v>42795</v>
      </c>
      <c r="S151" s="240" t="str">
        <f t="shared" si="5"/>
        <v>Mar</v>
      </c>
      <c r="T151" s="230" t="s">
        <v>252</v>
      </c>
    </row>
    <row r="152" spans="1:20" x14ac:dyDescent="0.25">
      <c r="A152" s="243">
        <v>8409201500</v>
      </c>
      <c r="B152" s="240" t="str">
        <f>VLOOKUP(A152,'Energy Provider Accounts'!C:F,2,FALSE)</f>
        <v>Majestic Park Rec Center</v>
      </c>
      <c r="C152" s="243" t="s">
        <v>230</v>
      </c>
      <c r="D152" s="244">
        <v>42857</v>
      </c>
      <c r="E152" s="244">
        <v>42827</v>
      </c>
      <c r="F152" s="243">
        <v>30</v>
      </c>
      <c r="G152" s="243" t="s">
        <v>256</v>
      </c>
      <c r="H152" s="243" t="s">
        <v>254</v>
      </c>
      <c r="I152" s="243">
        <v>14</v>
      </c>
      <c r="J152" s="243">
        <v>0</v>
      </c>
      <c r="K152" s="243">
        <v>0</v>
      </c>
      <c r="L152" s="243">
        <v>2.25</v>
      </c>
      <c r="M152" s="243">
        <v>34.119999999999997</v>
      </c>
      <c r="N152" s="243">
        <v>36.39</v>
      </c>
      <c r="O152">
        <v>2017</v>
      </c>
      <c r="P152" s="310">
        <f t="shared" si="4"/>
        <v>5</v>
      </c>
      <c r="Q152" s="310"/>
      <c r="R152" s="244">
        <v>42827</v>
      </c>
      <c r="S152" s="240" t="str">
        <f t="shared" si="5"/>
        <v>May</v>
      </c>
      <c r="T152" s="230" t="s">
        <v>252</v>
      </c>
    </row>
    <row r="153" spans="1:20" x14ac:dyDescent="0.25">
      <c r="A153" s="243">
        <v>8409201500</v>
      </c>
      <c r="B153" s="240" t="str">
        <f>VLOOKUP(A153,'Energy Provider Accounts'!C:F,2,FALSE)</f>
        <v>Majestic Park Rec Center</v>
      </c>
      <c r="C153" s="243" t="s">
        <v>230</v>
      </c>
      <c r="D153" s="244">
        <v>42888</v>
      </c>
      <c r="E153" s="244">
        <v>42858</v>
      </c>
      <c r="F153" s="243">
        <v>30</v>
      </c>
      <c r="G153" s="243" t="s">
        <v>253</v>
      </c>
      <c r="H153" s="243" t="s">
        <v>254</v>
      </c>
      <c r="I153" s="243">
        <v>129</v>
      </c>
      <c r="J153" s="243">
        <v>0</v>
      </c>
      <c r="K153" s="243">
        <v>0</v>
      </c>
      <c r="L153" s="243">
        <v>22.01</v>
      </c>
      <c r="M153" s="243">
        <v>26.33</v>
      </c>
      <c r="N153" s="243">
        <v>48.36</v>
      </c>
      <c r="O153">
        <v>2017</v>
      </c>
      <c r="P153" s="310">
        <f t="shared" si="4"/>
        <v>6</v>
      </c>
      <c r="Q153" s="310"/>
      <c r="R153" s="244">
        <v>42858</v>
      </c>
      <c r="S153" s="240" t="str">
        <f t="shared" si="5"/>
        <v>Jun</v>
      </c>
      <c r="T153" s="230" t="s">
        <v>252</v>
      </c>
    </row>
    <row r="154" spans="1:20" x14ac:dyDescent="0.25">
      <c r="A154" s="243">
        <v>8409201500</v>
      </c>
      <c r="B154" s="240" t="str">
        <f>VLOOKUP(A154,'Energy Provider Accounts'!C:F,2,FALSE)</f>
        <v>Majestic Park Rec Center</v>
      </c>
      <c r="C154" s="243" t="s">
        <v>230</v>
      </c>
      <c r="D154" s="244">
        <v>42916</v>
      </c>
      <c r="E154" s="244">
        <v>42886</v>
      </c>
      <c r="F154" s="243">
        <v>30</v>
      </c>
      <c r="G154" s="243" t="s">
        <v>256</v>
      </c>
      <c r="H154" s="243" t="s">
        <v>254</v>
      </c>
      <c r="I154" s="243">
        <v>61</v>
      </c>
      <c r="J154" s="243">
        <v>0</v>
      </c>
      <c r="K154" s="243">
        <v>0</v>
      </c>
      <c r="L154" s="243">
        <v>7.38</v>
      </c>
      <c r="M154" s="243">
        <v>32.39</v>
      </c>
      <c r="N154" s="243">
        <v>39.78</v>
      </c>
      <c r="O154">
        <v>2017</v>
      </c>
      <c r="P154" s="310">
        <f t="shared" si="4"/>
        <v>6</v>
      </c>
      <c r="Q154" s="310"/>
      <c r="R154" s="244">
        <v>42886</v>
      </c>
      <c r="S154" s="240" t="str">
        <f t="shared" si="5"/>
        <v>Jun</v>
      </c>
      <c r="T154" s="230" t="s">
        <v>252</v>
      </c>
    </row>
    <row r="155" spans="1:20" x14ac:dyDescent="0.25">
      <c r="A155" s="243">
        <v>8409201500</v>
      </c>
      <c r="B155" s="240" t="str">
        <f>VLOOKUP(A155,'Energy Provider Accounts'!C:F,2,FALSE)</f>
        <v>Majestic Park Rec Center</v>
      </c>
      <c r="C155" s="243" t="s">
        <v>230</v>
      </c>
      <c r="D155" s="244">
        <v>42948</v>
      </c>
      <c r="E155" s="244">
        <v>42918</v>
      </c>
      <c r="F155" s="243">
        <v>30</v>
      </c>
      <c r="G155" s="243" t="s">
        <v>253</v>
      </c>
      <c r="H155" s="243" t="s">
        <v>254</v>
      </c>
      <c r="I155" s="243">
        <v>145</v>
      </c>
      <c r="J155" s="243">
        <v>0</v>
      </c>
      <c r="K155" s="243">
        <v>0</v>
      </c>
      <c r="L155" s="243">
        <v>20.77</v>
      </c>
      <c r="M155" s="243">
        <v>29.58</v>
      </c>
      <c r="N155" s="243">
        <v>50.38</v>
      </c>
      <c r="O155">
        <v>2017</v>
      </c>
      <c r="P155" s="310">
        <f t="shared" si="4"/>
        <v>8</v>
      </c>
      <c r="Q155" s="310"/>
      <c r="R155" s="244">
        <v>42918</v>
      </c>
      <c r="S155" s="240" t="str">
        <f t="shared" si="5"/>
        <v>Aug</v>
      </c>
      <c r="T155" s="230" t="s">
        <v>255</v>
      </c>
    </row>
    <row r="156" spans="1:20" x14ac:dyDescent="0.25">
      <c r="A156" s="243">
        <v>8409201500</v>
      </c>
      <c r="B156" s="240" t="str">
        <f>VLOOKUP(A156,'Energy Provider Accounts'!C:F,2,FALSE)</f>
        <v>Majestic Park Rec Center</v>
      </c>
      <c r="C156" s="243" t="s">
        <v>230</v>
      </c>
      <c r="D156" s="244">
        <v>42977</v>
      </c>
      <c r="E156" s="244">
        <v>42947</v>
      </c>
      <c r="F156" s="243">
        <v>30</v>
      </c>
      <c r="G156" s="243" t="s">
        <v>256</v>
      </c>
      <c r="H156" s="243" t="s">
        <v>254</v>
      </c>
      <c r="I156" s="243">
        <v>85</v>
      </c>
      <c r="J156" s="243">
        <v>0</v>
      </c>
      <c r="K156" s="243">
        <v>0</v>
      </c>
      <c r="L156" s="243">
        <v>11.87</v>
      </c>
      <c r="M156" s="243">
        <v>32.07</v>
      </c>
      <c r="N156" s="243">
        <v>43.96</v>
      </c>
      <c r="O156">
        <v>2017</v>
      </c>
      <c r="P156" s="310">
        <f t="shared" si="4"/>
        <v>8</v>
      </c>
      <c r="Q156" s="310"/>
      <c r="R156" s="244">
        <v>42947</v>
      </c>
      <c r="S156" s="240" t="str">
        <f t="shared" si="5"/>
        <v>Aug</v>
      </c>
      <c r="T156" s="230" t="s">
        <v>255</v>
      </c>
    </row>
    <row r="157" spans="1:20" x14ac:dyDescent="0.25">
      <c r="A157" s="243">
        <v>8409201500</v>
      </c>
      <c r="B157" s="240" t="str">
        <f>VLOOKUP(A157,'Energy Provider Accounts'!C:F,2,FALSE)</f>
        <v>Majestic Park Rec Center</v>
      </c>
      <c r="C157" s="243" t="s">
        <v>230</v>
      </c>
      <c r="D157" s="244">
        <v>43010</v>
      </c>
      <c r="E157" s="244">
        <v>42980</v>
      </c>
      <c r="F157" s="243">
        <v>30</v>
      </c>
      <c r="G157" s="243" t="s">
        <v>253</v>
      </c>
      <c r="H157" s="243" t="s">
        <v>254</v>
      </c>
      <c r="I157" s="243">
        <v>74</v>
      </c>
      <c r="J157" s="243">
        <v>0</v>
      </c>
      <c r="K157" s="243">
        <v>0</v>
      </c>
      <c r="L157" s="243">
        <v>8.41</v>
      </c>
      <c r="M157" s="243">
        <v>33.44</v>
      </c>
      <c r="N157" s="243">
        <v>41.86</v>
      </c>
      <c r="O157">
        <v>2017</v>
      </c>
      <c r="P157" s="310">
        <f t="shared" si="4"/>
        <v>10</v>
      </c>
      <c r="Q157" s="310"/>
      <c r="R157" s="244">
        <v>42980</v>
      </c>
      <c r="S157" s="240" t="str">
        <f t="shared" si="5"/>
        <v>Oct</v>
      </c>
      <c r="T157" s="230" t="s">
        <v>255</v>
      </c>
    </row>
    <row r="158" spans="1:20" x14ac:dyDescent="0.25">
      <c r="A158" s="243">
        <v>8409201500</v>
      </c>
      <c r="B158" s="240" t="str">
        <f>VLOOKUP(A158,'Energy Provider Accounts'!C:F,2,FALSE)</f>
        <v>Majestic Park Rec Center</v>
      </c>
      <c r="C158" s="243" t="s">
        <v>230</v>
      </c>
      <c r="D158" s="244">
        <v>43038</v>
      </c>
      <c r="E158" s="244">
        <v>43008</v>
      </c>
      <c r="F158" s="243">
        <v>30</v>
      </c>
      <c r="G158" s="243" t="s">
        <v>256</v>
      </c>
      <c r="H158" s="243" t="s">
        <v>254</v>
      </c>
      <c r="I158" s="243">
        <v>70</v>
      </c>
      <c r="J158" s="243">
        <v>0</v>
      </c>
      <c r="K158" s="243">
        <v>0</v>
      </c>
      <c r="L158" s="243">
        <v>8.8000000000000007</v>
      </c>
      <c r="M158" s="243">
        <v>33.07</v>
      </c>
      <c r="N158" s="243">
        <v>41.89</v>
      </c>
      <c r="O158">
        <v>2017</v>
      </c>
      <c r="P158" s="310">
        <f t="shared" si="4"/>
        <v>10</v>
      </c>
      <c r="Q158" s="310"/>
      <c r="R158" s="244">
        <v>43008</v>
      </c>
      <c r="S158" s="240" t="str">
        <f t="shared" si="5"/>
        <v>Oct</v>
      </c>
      <c r="T158" s="230" t="s">
        <v>255</v>
      </c>
    </row>
    <row r="159" spans="1:20" x14ac:dyDescent="0.25">
      <c r="A159" s="243">
        <v>8409201500</v>
      </c>
      <c r="B159" s="240" t="str">
        <f>VLOOKUP(A159,'Energy Provider Accounts'!C:F,2,FALSE)</f>
        <v>Majestic Park Rec Center</v>
      </c>
      <c r="C159" s="243" t="s">
        <v>230</v>
      </c>
      <c r="D159" s="244">
        <v>43069</v>
      </c>
      <c r="E159" s="244">
        <v>43039</v>
      </c>
      <c r="F159" s="243">
        <v>30</v>
      </c>
      <c r="G159" s="243" t="s">
        <v>253</v>
      </c>
      <c r="H159" s="243" t="s">
        <v>254</v>
      </c>
      <c r="I159" s="243">
        <v>39</v>
      </c>
      <c r="J159" s="243">
        <v>0</v>
      </c>
      <c r="K159" s="243">
        <v>0</v>
      </c>
      <c r="L159" s="243">
        <v>5.34</v>
      </c>
      <c r="M159" s="243">
        <v>33.71</v>
      </c>
      <c r="N159" s="243">
        <v>39.07</v>
      </c>
      <c r="O159">
        <v>2017</v>
      </c>
      <c r="P159" s="310">
        <f t="shared" si="4"/>
        <v>11</v>
      </c>
      <c r="Q159" s="310"/>
      <c r="R159" s="244">
        <v>43039</v>
      </c>
      <c r="S159" s="240" t="str">
        <f t="shared" si="5"/>
        <v>Nov</v>
      </c>
      <c r="T159" s="230" t="s">
        <v>255</v>
      </c>
    </row>
    <row r="160" spans="1:20" x14ac:dyDescent="0.25">
      <c r="A160" s="243">
        <v>8409201500</v>
      </c>
      <c r="B160" s="240" t="str">
        <f>VLOOKUP(A160,'Energy Provider Accounts'!C:F,2,FALSE)</f>
        <v>Majestic Park Rec Center</v>
      </c>
      <c r="C160" s="243" t="s">
        <v>230</v>
      </c>
      <c r="D160" s="244">
        <v>43103</v>
      </c>
      <c r="E160" s="244">
        <v>43069</v>
      </c>
      <c r="F160" s="243">
        <v>34</v>
      </c>
      <c r="G160" s="243" t="s">
        <v>256</v>
      </c>
      <c r="H160" s="243" t="s">
        <v>254</v>
      </c>
      <c r="I160" s="243" t="s">
        <v>264</v>
      </c>
      <c r="J160" s="243"/>
      <c r="K160" s="243"/>
      <c r="L160" s="243" t="s">
        <v>264</v>
      </c>
      <c r="M160" s="243" t="s">
        <v>264</v>
      </c>
      <c r="N160" s="243" t="s">
        <v>264</v>
      </c>
      <c r="O160">
        <v>2018</v>
      </c>
      <c r="P160" s="310">
        <v>12</v>
      </c>
      <c r="Q160" s="310"/>
      <c r="R160" s="244">
        <v>43069</v>
      </c>
      <c r="S160" s="261" t="str">
        <f t="shared" si="5"/>
        <v>Dec</v>
      </c>
      <c r="T160" s="230" t="s">
        <v>252</v>
      </c>
    </row>
    <row r="161" spans="1:20" x14ac:dyDescent="0.25">
      <c r="A161" s="243">
        <v>8409201500</v>
      </c>
      <c r="B161" s="240" t="str">
        <f>VLOOKUP(A161,'Energy Provider Accounts'!C:F,2,FALSE)</f>
        <v>Majestic Park Rec Center</v>
      </c>
      <c r="C161" s="243" t="s">
        <v>230</v>
      </c>
      <c r="D161" s="244">
        <v>43132</v>
      </c>
      <c r="E161" s="244">
        <v>43069</v>
      </c>
      <c r="F161" s="243">
        <v>60</v>
      </c>
      <c r="G161" s="243" t="s">
        <v>263</v>
      </c>
      <c r="H161" s="243" t="s">
        <v>254</v>
      </c>
      <c r="I161" s="243">
        <v>86</v>
      </c>
      <c r="J161" s="243"/>
      <c r="K161" s="243"/>
      <c r="L161" s="243">
        <v>6.19</v>
      </c>
      <c r="M161" s="243">
        <v>73.040000000000006</v>
      </c>
      <c r="N161" s="243">
        <v>79.23</v>
      </c>
      <c r="O161" s="318">
        <v>2018</v>
      </c>
      <c r="P161" s="310">
        <v>1</v>
      </c>
      <c r="Q161" s="310"/>
      <c r="R161" s="244">
        <v>43069</v>
      </c>
      <c r="S161" s="261" t="str">
        <f t="shared" si="5"/>
        <v>Jan</v>
      </c>
      <c r="T161" s="230" t="s">
        <v>252</v>
      </c>
    </row>
    <row r="162" spans="1:20" x14ac:dyDescent="0.25">
      <c r="A162" s="243">
        <v>8409201500</v>
      </c>
      <c r="B162" s="240" t="str">
        <f>VLOOKUP(A162,'Energy Provider Accounts'!C:F,2,FALSE)</f>
        <v>Majestic Park Rec Center</v>
      </c>
      <c r="C162" s="243" t="s">
        <v>230</v>
      </c>
      <c r="D162" s="244">
        <v>43161</v>
      </c>
      <c r="E162" s="244">
        <v>43132</v>
      </c>
      <c r="F162" s="243">
        <v>30</v>
      </c>
      <c r="G162" s="243" t="s">
        <v>256</v>
      </c>
      <c r="H162" s="243" t="s">
        <v>254</v>
      </c>
      <c r="I162" s="243" t="s">
        <v>264</v>
      </c>
      <c r="J162" s="243"/>
      <c r="K162" s="243"/>
      <c r="L162" s="243" t="s">
        <v>264</v>
      </c>
      <c r="M162" s="243" t="s">
        <v>264</v>
      </c>
      <c r="N162" s="243" t="s">
        <v>264</v>
      </c>
      <c r="O162" s="318">
        <v>2018</v>
      </c>
      <c r="P162" s="310">
        <v>2</v>
      </c>
      <c r="Q162" s="310"/>
      <c r="R162" s="244">
        <v>43132</v>
      </c>
      <c r="S162" s="261" t="str">
        <f t="shared" si="5"/>
        <v>Feb</v>
      </c>
      <c r="T162" s="230" t="s">
        <v>252</v>
      </c>
    </row>
    <row r="163" spans="1:20" x14ac:dyDescent="0.25">
      <c r="A163" s="243">
        <v>8409201500</v>
      </c>
      <c r="B163" s="240" t="str">
        <f>VLOOKUP(A163,'Energy Provider Accounts'!C:F,2,FALSE)</f>
        <v>Majestic Park Rec Center</v>
      </c>
      <c r="C163" s="243" t="s">
        <v>230</v>
      </c>
      <c r="D163" s="244">
        <v>43192</v>
      </c>
      <c r="E163" s="244">
        <v>43132</v>
      </c>
      <c r="F163" s="243">
        <v>59</v>
      </c>
      <c r="G163" s="243" t="s">
        <v>263</v>
      </c>
      <c r="H163" s="243" t="s">
        <v>254</v>
      </c>
      <c r="I163" s="243">
        <v>71</v>
      </c>
      <c r="J163" s="243"/>
      <c r="K163" s="243"/>
      <c r="L163" s="243">
        <v>6.08</v>
      </c>
      <c r="M163" s="243">
        <v>72.55</v>
      </c>
      <c r="N163" s="243">
        <v>78.63</v>
      </c>
      <c r="O163" s="318">
        <v>2018</v>
      </c>
      <c r="P163" s="310">
        <v>3</v>
      </c>
      <c r="Q163" s="310"/>
      <c r="R163" s="244">
        <v>43132</v>
      </c>
      <c r="S163" s="240" t="s">
        <v>83</v>
      </c>
      <c r="T163" s="230" t="s">
        <v>252</v>
      </c>
    </row>
    <row r="164" spans="1:20" x14ac:dyDescent="0.25">
      <c r="A164" s="243">
        <v>8409201500</v>
      </c>
      <c r="B164" s="240" t="str">
        <f>VLOOKUP(A164,'Energy Provider Accounts'!C:F,2,FALSE)</f>
        <v>Majestic Park Rec Center</v>
      </c>
      <c r="C164" s="243" t="s">
        <v>230</v>
      </c>
      <c r="D164" s="244">
        <v>43222</v>
      </c>
      <c r="E164" s="244">
        <v>43192</v>
      </c>
      <c r="F164" s="243">
        <v>30</v>
      </c>
      <c r="G164" s="243" t="s">
        <v>256</v>
      </c>
      <c r="H164" s="243" t="s">
        <v>254</v>
      </c>
      <c r="I164" s="243">
        <v>71</v>
      </c>
      <c r="J164" s="243"/>
      <c r="K164" s="243"/>
      <c r="L164" s="243">
        <v>4.29</v>
      </c>
      <c r="M164" s="243">
        <v>37.729999999999997</v>
      </c>
      <c r="N164" s="243">
        <v>42.02</v>
      </c>
      <c r="O164" s="318">
        <v>2018</v>
      </c>
      <c r="P164" s="310">
        <v>4</v>
      </c>
      <c r="Q164" s="310"/>
      <c r="R164" s="244">
        <v>43192</v>
      </c>
      <c r="S164" s="240" t="s">
        <v>84</v>
      </c>
      <c r="T164" s="230" t="s">
        <v>252</v>
      </c>
    </row>
    <row r="165" spans="1:20" x14ac:dyDescent="0.25">
      <c r="A165" s="243">
        <v>8409201500</v>
      </c>
      <c r="B165" s="240" t="str">
        <f>VLOOKUP(A165,'Energy Provider Accounts'!C:F,2,FALSE)</f>
        <v>Majestic Park Rec Center</v>
      </c>
      <c r="C165" s="243" t="s">
        <v>230</v>
      </c>
      <c r="D165" s="244">
        <v>43255</v>
      </c>
      <c r="E165" s="244">
        <v>43222</v>
      </c>
      <c r="F165" s="243">
        <v>33</v>
      </c>
      <c r="G165" s="243" t="s">
        <v>263</v>
      </c>
      <c r="H165" s="243" t="s">
        <v>254</v>
      </c>
      <c r="I165" s="243">
        <v>14</v>
      </c>
      <c r="J165" s="243"/>
      <c r="K165" s="243"/>
      <c r="L165" s="243">
        <v>1.24</v>
      </c>
      <c r="M165" s="243">
        <v>35.520000000000003</v>
      </c>
      <c r="N165" s="243">
        <v>36.76</v>
      </c>
      <c r="O165" s="318">
        <v>2018</v>
      </c>
      <c r="P165" s="310">
        <v>5</v>
      </c>
      <c r="Q165" s="310"/>
      <c r="R165" s="244">
        <v>43222</v>
      </c>
      <c r="S165" s="240" t="s">
        <v>85</v>
      </c>
      <c r="T165" s="230" t="s">
        <v>252</v>
      </c>
    </row>
    <row r="166" spans="1:20" x14ac:dyDescent="0.25">
      <c r="A166" s="243">
        <v>8409201500</v>
      </c>
      <c r="B166" s="240" t="str">
        <f>VLOOKUP(A166,'Energy Provider Accounts'!C:F,2,FALSE)</f>
        <v>Majestic Park Rec Center</v>
      </c>
      <c r="C166" s="243" t="s">
        <v>230</v>
      </c>
      <c r="D166" s="244">
        <v>43283</v>
      </c>
      <c r="E166" s="244">
        <v>43255</v>
      </c>
      <c r="F166" s="243">
        <v>28</v>
      </c>
      <c r="G166" s="243" t="s">
        <v>256</v>
      </c>
      <c r="H166" s="243" t="s">
        <v>254</v>
      </c>
      <c r="I166" s="243">
        <v>96</v>
      </c>
      <c r="J166" s="243"/>
      <c r="K166" s="243"/>
      <c r="L166" s="243">
        <v>7.04</v>
      </c>
      <c r="M166" s="243">
        <v>38.25</v>
      </c>
      <c r="N166" s="243">
        <v>45.29</v>
      </c>
      <c r="O166" s="318">
        <v>2018</v>
      </c>
      <c r="P166" s="310">
        <v>6</v>
      </c>
      <c r="Q166" s="310"/>
      <c r="R166" s="244">
        <v>43255</v>
      </c>
      <c r="S166" s="261" t="s">
        <v>86</v>
      </c>
      <c r="T166" s="230" t="s">
        <v>252</v>
      </c>
    </row>
    <row r="167" spans="1:20" x14ac:dyDescent="0.25">
      <c r="A167" s="243">
        <v>8409201500</v>
      </c>
      <c r="B167" s="240" t="str">
        <f>VLOOKUP(A167,'Energy Provider Accounts'!C:F,2,FALSE)</f>
        <v>Majestic Park Rec Center</v>
      </c>
      <c r="C167" s="243" t="s">
        <v>230</v>
      </c>
      <c r="D167" s="244">
        <v>43314</v>
      </c>
      <c r="E167" s="244">
        <v>43283</v>
      </c>
      <c r="F167" s="243">
        <v>32</v>
      </c>
      <c r="G167" s="243" t="s">
        <v>263</v>
      </c>
      <c r="H167" s="243" t="s">
        <v>254</v>
      </c>
      <c r="I167" s="243">
        <v>377</v>
      </c>
      <c r="J167" s="243"/>
      <c r="K167" s="243"/>
      <c r="L167" s="243">
        <v>23.34</v>
      </c>
      <c r="M167" s="243">
        <v>48.56</v>
      </c>
      <c r="N167" s="243">
        <v>71.900000000000006</v>
      </c>
      <c r="O167" s="318">
        <v>2018</v>
      </c>
      <c r="P167" s="310">
        <v>7</v>
      </c>
      <c r="Q167" s="310"/>
      <c r="R167" s="244">
        <v>43283</v>
      </c>
      <c r="S167" s="261" t="s">
        <v>87</v>
      </c>
      <c r="T167" s="230" t="s">
        <v>252</v>
      </c>
    </row>
    <row r="168" spans="1:20" x14ac:dyDescent="0.25">
      <c r="A168" s="243">
        <v>8409201500</v>
      </c>
      <c r="B168" s="240" t="str">
        <f>VLOOKUP(A168,'Energy Provider Accounts'!C:F,2,FALSE)</f>
        <v>Majestic Park Rec Center</v>
      </c>
      <c r="C168" s="243" t="s">
        <v>230</v>
      </c>
      <c r="D168" s="244">
        <v>43342</v>
      </c>
      <c r="E168" s="244">
        <v>43314</v>
      </c>
      <c r="F168" s="243">
        <v>29</v>
      </c>
      <c r="G168" s="243" t="s">
        <v>256</v>
      </c>
      <c r="H168" s="243" t="s">
        <v>254</v>
      </c>
      <c r="I168" s="243">
        <v>74</v>
      </c>
      <c r="J168" s="243"/>
      <c r="K168" s="243"/>
      <c r="L168" s="243">
        <v>5.98</v>
      </c>
      <c r="M168" s="243">
        <v>35.17</v>
      </c>
      <c r="N168" s="243">
        <v>41.15</v>
      </c>
      <c r="O168" s="318">
        <v>2018</v>
      </c>
      <c r="P168" s="310">
        <v>8</v>
      </c>
      <c r="Q168" s="310"/>
      <c r="R168" s="244">
        <v>43314</v>
      </c>
      <c r="S168" s="261" t="s">
        <v>88</v>
      </c>
      <c r="T168" s="230" t="s">
        <v>252</v>
      </c>
    </row>
    <row r="169" spans="1:20" x14ac:dyDescent="0.25">
      <c r="A169" s="243">
        <v>8409201500</v>
      </c>
      <c r="B169" s="240" t="str">
        <f>VLOOKUP(A169,'Energy Provider Accounts'!C:F,2,FALSE)</f>
        <v>Majestic Park Rec Center</v>
      </c>
      <c r="C169" s="243" t="s">
        <v>230</v>
      </c>
      <c r="D169" s="244">
        <v>43374</v>
      </c>
      <c r="E169" s="244">
        <v>43342</v>
      </c>
      <c r="F169" s="243">
        <v>32</v>
      </c>
      <c r="G169" s="243" t="s">
        <v>263</v>
      </c>
      <c r="H169" s="243" t="s">
        <v>254</v>
      </c>
      <c r="I169" s="243">
        <v>263</v>
      </c>
      <c r="J169" s="243"/>
      <c r="K169" s="243"/>
      <c r="L169" s="243">
        <v>23.89</v>
      </c>
      <c r="M169" s="243">
        <v>42.54</v>
      </c>
      <c r="N169" s="243">
        <v>66.430000000000007</v>
      </c>
      <c r="O169" s="318">
        <v>2018</v>
      </c>
      <c r="P169" s="310">
        <v>9</v>
      </c>
      <c r="Q169" s="310"/>
      <c r="R169" s="244">
        <v>43342</v>
      </c>
      <c r="S169" s="261" t="s">
        <v>89</v>
      </c>
      <c r="T169" s="230" t="s">
        <v>252</v>
      </c>
    </row>
    <row r="170" spans="1:20" x14ac:dyDescent="0.25">
      <c r="A170" s="243">
        <v>8409201500</v>
      </c>
      <c r="B170" s="240" t="str">
        <f>VLOOKUP(A170,'Energy Provider Accounts'!C:F,2,FALSE)</f>
        <v>Majestic Park Rec Center</v>
      </c>
      <c r="C170" s="243" t="s">
        <v>230</v>
      </c>
      <c r="D170" s="244">
        <v>43403</v>
      </c>
      <c r="E170" s="244">
        <v>43374</v>
      </c>
      <c r="F170" s="243">
        <v>30</v>
      </c>
      <c r="G170" s="243" t="s">
        <v>256</v>
      </c>
      <c r="H170" s="243" t="s">
        <v>254</v>
      </c>
      <c r="I170" s="243">
        <v>52</v>
      </c>
      <c r="J170" s="243"/>
      <c r="K170" s="243"/>
      <c r="L170" s="243">
        <v>4.3899999999999997</v>
      </c>
      <c r="M170" s="249">
        <v>34.200000000000003</v>
      </c>
      <c r="N170" s="243">
        <v>38.590000000000003</v>
      </c>
      <c r="O170" s="318">
        <v>2018</v>
      </c>
      <c r="P170" s="310">
        <v>10</v>
      </c>
      <c r="Q170" s="310"/>
      <c r="R170" s="244">
        <v>43374</v>
      </c>
      <c r="S170" s="261" t="s">
        <v>90</v>
      </c>
      <c r="T170" s="230" t="s">
        <v>252</v>
      </c>
    </row>
    <row r="171" spans="1:20" x14ac:dyDescent="0.25">
      <c r="A171" s="243">
        <v>8409201500</v>
      </c>
      <c r="B171" s="240" t="str">
        <f>VLOOKUP(A171,'Energy Provider Accounts'!C:F,2,FALSE)</f>
        <v>Majestic Park Rec Center</v>
      </c>
      <c r="C171" s="243" t="s">
        <v>230</v>
      </c>
      <c r="D171" s="244">
        <v>43434</v>
      </c>
      <c r="E171" s="244">
        <v>43403</v>
      </c>
      <c r="F171" s="243">
        <v>31</v>
      </c>
      <c r="G171" s="243" t="s">
        <v>263</v>
      </c>
      <c r="H171" s="243" t="s">
        <v>254</v>
      </c>
      <c r="I171" s="243">
        <v>136</v>
      </c>
      <c r="J171" s="243"/>
      <c r="K171" s="243"/>
      <c r="L171" s="243">
        <v>8.0500000000000007</v>
      </c>
      <c r="M171" s="249">
        <v>37.57</v>
      </c>
      <c r="N171" s="243">
        <v>45.62</v>
      </c>
      <c r="O171" s="318">
        <v>2018</v>
      </c>
      <c r="P171" s="310">
        <v>11</v>
      </c>
      <c r="Q171" s="310"/>
      <c r="R171" s="244">
        <v>43403</v>
      </c>
      <c r="S171" s="261" t="s">
        <v>91</v>
      </c>
      <c r="T171" s="230" t="s">
        <v>252</v>
      </c>
    </row>
    <row r="172" spans="1:20" x14ac:dyDescent="0.25">
      <c r="A172" s="243">
        <v>8409201500</v>
      </c>
      <c r="B172" s="240" t="str">
        <f>VLOOKUP(A172,'Energy Provider Accounts'!C:F,2,FALSE)</f>
        <v>Majestic Park Rec Center</v>
      </c>
      <c r="C172" s="243" t="s">
        <v>230</v>
      </c>
      <c r="D172" s="244">
        <v>43468</v>
      </c>
      <c r="E172" s="244">
        <v>43434</v>
      </c>
      <c r="F172" s="243">
        <v>25</v>
      </c>
      <c r="G172" s="243" t="s">
        <v>256</v>
      </c>
      <c r="H172" s="243" t="s">
        <v>254</v>
      </c>
      <c r="I172" s="243">
        <v>48</v>
      </c>
      <c r="J172" s="243"/>
      <c r="K172" s="243"/>
      <c r="L172" s="243">
        <v>2.25</v>
      </c>
      <c r="M172" s="249">
        <v>33.71</v>
      </c>
      <c r="N172" s="243">
        <v>35.96</v>
      </c>
      <c r="O172" s="318"/>
      <c r="P172" s="310">
        <v>12</v>
      </c>
      <c r="Q172" s="310"/>
      <c r="R172" s="244">
        <v>43434</v>
      </c>
      <c r="S172" s="261" t="s">
        <v>92</v>
      </c>
      <c r="T172" s="230" t="s">
        <v>252</v>
      </c>
    </row>
    <row r="173" spans="1:20" x14ac:dyDescent="0.25">
      <c r="A173" s="243">
        <v>8409201500</v>
      </c>
      <c r="B173" s="240" t="str">
        <f>VLOOKUP(A173,'Energy Provider Accounts'!C:F,2,FALSE)</f>
        <v>Majestic Park Rec Center</v>
      </c>
      <c r="C173" s="243" t="s">
        <v>230</v>
      </c>
      <c r="D173" s="244"/>
      <c r="E173" s="244"/>
      <c r="F173" s="243"/>
      <c r="G173" s="243"/>
      <c r="H173" s="243"/>
      <c r="I173" s="243"/>
      <c r="J173" s="243"/>
      <c r="K173" s="243"/>
      <c r="L173" s="243"/>
      <c r="M173" s="243"/>
      <c r="N173" s="243"/>
      <c r="P173" s="310"/>
      <c r="Q173" s="310"/>
      <c r="R173" s="244"/>
      <c r="S173" s="240"/>
    </row>
    <row r="174" spans="1:20" x14ac:dyDescent="0.25">
      <c r="A174" s="243">
        <v>8409184000</v>
      </c>
      <c r="B174" s="240" t="str">
        <f>VLOOKUP(A174,'Energy Provider Accounts'!C:F,2,FALSE)</f>
        <v>Sewer District Cliff View/Mare's Lane</v>
      </c>
      <c r="C174" s="243" t="s">
        <v>230</v>
      </c>
      <c r="D174" s="244">
        <v>42033</v>
      </c>
      <c r="E174" s="248">
        <v>41974</v>
      </c>
      <c r="F174" s="243">
        <v>60</v>
      </c>
      <c r="G174" s="243" t="s">
        <v>251</v>
      </c>
      <c r="H174" s="243" t="s">
        <v>254</v>
      </c>
      <c r="I174" s="243">
        <v>836</v>
      </c>
      <c r="J174" s="250"/>
      <c r="K174" s="250"/>
      <c r="L174" s="243">
        <v>84.85</v>
      </c>
      <c r="M174" s="243">
        <v>82.1</v>
      </c>
      <c r="N174" s="243">
        <v>166.15</v>
      </c>
      <c r="O174">
        <v>2015</v>
      </c>
      <c r="P174" s="310">
        <f t="shared" si="4"/>
        <v>1</v>
      </c>
      <c r="Q174" s="310"/>
      <c r="R174" s="248">
        <v>41974</v>
      </c>
      <c r="S174" s="240" t="str">
        <f t="shared" si="5"/>
        <v>Jan</v>
      </c>
      <c r="T174" s="230" t="s">
        <v>255</v>
      </c>
    </row>
    <row r="175" spans="1:20" x14ac:dyDescent="0.25">
      <c r="A175" s="243">
        <v>8409184000</v>
      </c>
      <c r="B175" s="240" t="str">
        <f>VLOOKUP(A175,'Energy Provider Accounts'!C:F,2,FALSE)</f>
        <v>Sewer District Cliff View/Mare's Lane</v>
      </c>
      <c r="C175" s="243" t="s">
        <v>230</v>
      </c>
      <c r="D175" s="244">
        <v>42096</v>
      </c>
      <c r="E175" s="248">
        <v>42033</v>
      </c>
      <c r="F175" s="243">
        <v>63</v>
      </c>
      <c r="G175" s="243" t="s">
        <v>251</v>
      </c>
      <c r="H175" s="243" t="s">
        <v>254</v>
      </c>
      <c r="I175" s="243">
        <v>720</v>
      </c>
      <c r="J175" s="250"/>
      <c r="K175" s="250"/>
      <c r="L175" s="243">
        <v>94.98</v>
      </c>
      <c r="M175" s="243">
        <v>80.38</v>
      </c>
      <c r="N175" s="243">
        <v>180.36</v>
      </c>
      <c r="O175">
        <v>2015</v>
      </c>
      <c r="P175" s="310">
        <f t="shared" si="4"/>
        <v>4</v>
      </c>
      <c r="Q175" s="310"/>
      <c r="R175" s="248">
        <v>42033</v>
      </c>
      <c r="S175" s="240" t="str">
        <f t="shared" si="5"/>
        <v>Apr</v>
      </c>
      <c r="T175" s="230" t="s">
        <v>255</v>
      </c>
    </row>
    <row r="176" spans="1:20" x14ac:dyDescent="0.25">
      <c r="A176" s="243">
        <v>8409184000</v>
      </c>
      <c r="B176" s="240" t="str">
        <f>VLOOKUP(A176,'Energy Provider Accounts'!C:F,2,FALSE)</f>
        <v>Sewer District Cliff View/Mare's Lane</v>
      </c>
      <c r="C176" s="243" t="s">
        <v>230</v>
      </c>
      <c r="D176" s="244">
        <v>42156</v>
      </c>
      <c r="E176" s="248">
        <v>42096</v>
      </c>
      <c r="F176" s="243">
        <v>60</v>
      </c>
      <c r="G176" s="243" t="s">
        <v>251</v>
      </c>
      <c r="H176" s="243" t="s">
        <v>254</v>
      </c>
      <c r="I176" s="243">
        <v>539</v>
      </c>
      <c r="J176" s="250"/>
      <c r="K176" s="250"/>
      <c r="L176" s="243">
        <v>41.97</v>
      </c>
      <c r="M176" s="243">
        <v>80.64</v>
      </c>
      <c r="N176" s="243">
        <v>122.61</v>
      </c>
      <c r="O176">
        <v>2015</v>
      </c>
      <c r="P176" s="310">
        <f t="shared" si="4"/>
        <v>6</v>
      </c>
      <c r="Q176" s="310"/>
      <c r="R176" s="248">
        <v>42096</v>
      </c>
      <c r="S176" s="240" t="str">
        <f t="shared" si="5"/>
        <v>Jun</v>
      </c>
      <c r="T176" s="230" t="s">
        <v>255</v>
      </c>
    </row>
    <row r="177" spans="1:20" x14ac:dyDescent="0.25">
      <c r="A177" s="243">
        <v>8409184000</v>
      </c>
      <c r="B177" s="240" t="str">
        <f>VLOOKUP(A177,'Energy Provider Accounts'!C:F,2,FALSE)</f>
        <v>Sewer District Cliff View/Mare's Lane</v>
      </c>
      <c r="C177" s="243" t="s">
        <v>230</v>
      </c>
      <c r="D177" s="248">
        <v>42214</v>
      </c>
      <c r="E177" s="248">
        <v>42156</v>
      </c>
      <c r="F177" s="243">
        <v>60</v>
      </c>
      <c r="G177" s="243" t="s">
        <v>251</v>
      </c>
      <c r="H177" s="243" t="s">
        <v>254</v>
      </c>
      <c r="I177" s="242">
        <v>566</v>
      </c>
      <c r="J177" s="250"/>
      <c r="K177" s="250"/>
      <c r="L177" s="242">
        <v>33.9</v>
      </c>
      <c r="M177" s="242">
        <v>79.709999999999994</v>
      </c>
      <c r="N177" s="242">
        <v>122.74</v>
      </c>
      <c r="O177">
        <v>2015</v>
      </c>
      <c r="P177" s="310">
        <f t="shared" si="4"/>
        <v>7</v>
      </c>
      <c r="Q177" s="310"/>
      <c r="R177" s="248">
        <v>42156</v>
      </c>
      <c r="S177" s="240" t="str">
        <f t="shared" si="5"/>
        <v>Jul</v>
      </c>
      <c r="T177" s="230" t="s">
        <v>255</v>
      </c>
    </row>
    <row r="178" spans="1:20" x14ac:dyDescent="0.25">
      <c r="A178" s="243">
        <v>8409184000</v>
      </c>
      <c r="B178" s="240" t="str">
        <f>VLOOKUP(A178,'Energy Provider Accounts'!C:F,2,FALSE)</f>
        <v>Sewer District Cliff View/Mare's Lane</v>
      </c>
      <c r="C178" s="243" t="s">
        <v>230</v>
      </c>
      <c r="D178" s="248">
        <v>42278</v>
      </c>
      <c r="E178" s="248">
        <v>42214</v>
      </c>
      <c r="F178" s="242">
        <v>63</v>
      </c>
      <c r="G178" s="239" t="s">
        <v>251</v>
      </c>
      <c r="H178" s="243" t="s">
        <v>254</v>
      </c>
      <c r="I178" s="242">
        <v>699</v>
      </c>
      <c r="J178" s="250"/>
      <c r="K178" s="250"/>
      <c r="L178" s="242">
        <v>67.27</v>
      </c>
      <c r="M178" s="242">
        <v>82.37</v>
      </c>
      <c r="N178" s="242">
        <v>149.63999999999999</v>
      </c>
      <c r="O178">
        <v>2015</v>
      </c>
      <c r="P178" s="310">
        <f t="shared" si="4"/>
        <v>10</v>
      </c>
      <c r="Q178" s="310"/>
      <c r="R178" s="248">
        <v>42214</v>
      </c>
      <c r="S178" s="240" t="str">
        <f t="shared" si="5"/>
        <v>Oct</v>
      </c>
      <c r="T178" s="230" t="s">
        <v>255</v>
      </c>
    </row>
    <row r="179" spans="1:20" x14ac:dyDescent="0.25">
      <c r="A179" s="243">
        <v>8409184000</v>
      </c>
      <c r="B179" s="240" t="str">
        <f>VLOOKUP(A179,'Energy Provider Accounts'!C:F,2,FALSE)</f>
        <v>Sewer District Cliff View/Mare's Lane</v>
      </c>
      <c r="C179" s="243" t="s">
        <v>230</v>
      </c>
      <c r="D179" s="244">
        <v>42340</v>
      </c>
      <c r="E179" s="248">
        <v>42278</v>
      </c>
      <c r="F179" s="243">
        <v>62</v>
      </c>
      <c r="G179" s="243" t="s">
        <v>257</v>
      </c>
      <c r="H179" s="243" t="s">
        <v>254</v>
      </c>
      <c r="I179" s="243">
        <v>555</v>
      </c>
      <c r="J179" s="250"/>
      <c r="K179" s="250"/>
      <c r="L179" s="243">
        <v>47.19</v>
      </c>
      <c r="M179" s="243">
        <v>80.55</v>
      </c>
      <c r="N179" s="243">
        <v>127.74</v>
      </c>
      <c r="O179">
        <v>2015</v>
      </c>
      <c r="P179" s="310">
        <f t="shared" si="4"/>
        <v>12</v>
      </c>
      <c r="Q179" s="310"/>
      <c r="R179" s="248">
        <v>42278</v>
      </c>
      <c r="S179" s="240" t="str">
        <f t="shared" si="5"/>
        <v>Dec</v>
      </c>
      <c r="T179" s="230" t="s">
        <v>255</v>
      </c>
    </row>
    <row r="180" spans="1:20" x14ac:dyDescent="0.25">
      <c r="A180" s="243">
        <v>8409184000</v>
      </c>
      <c r="B180" s="240" t="str">
        <f>VLOOKUP(A180,'Energy Provider Accounts'!C:F,2,FALSE)</f>
        <v>Sewer District Cliff View/Mare's Lane</v>
      </c>
      <c r="C180" s="243" t="s">
        <v>230</v>
      </c>
      <c r="D180" s="244">
        <v>42398</v>
      </c>
      <c r="E180" s="248">
        <v>42340</v>
      </c>
      <c r="F180" s="243">
        <v>58</v>
      </c>
      <c r="G180" s="243" t="s">
        <v>253</v>
      </c>
      <c r="H180" s="243" t="s">
        <v>254</v>
      </c>
      <c r="I180" s="243">
        <v>1872</v>
      </c>
      <c r="J180" s="243">
        <v>0</v>
      </c>
      <c r="K180" s="243">
        <v>0</v>
      </c>
      <c r="L180" s="243">
        <v>211</v>
      </c>
      <c r="M180" s="243">
        <v>-6.37</v>
      </c>
      <c r="N180" s="243">
        <v>221.12</v>
      </c>
      <c r="O180">
        <v>2016</v>
      </c>
      <c r="P180" s="310">
        <f t="shared" si="4"/>
        <v>1</v>
      </c>
      <c r="Q180" s="310"/>
      <c r="R180" s="248">
        <v>42340</v>
      </c>
      <c r="S180" s="240" t="str">
        <f t="shared" si="5"/>
        <v>Jan</v>
      </c>
      <c r="T180" s="230" t="s">
        <v>255</v>
      </c>
    </row>
    <row r="181" spans="1:20" x14ac:dyDescent="0.25">
      <c r="A181" s="243">
        <v>8409184000</v>
      </c>
      <c r="B181" s="240" t="str">
        <f>VLOOKUP(A181,'Energy Provider Accounts'!C:F,2,FALSE)</f>
        <v>Sewer District Cliff View/Mare's Lane</v>
      </c>
      <c r="C181" s="243" t="s">
        <v>230</v>
      </c>
      <c r="D181" s="244">
        <v>42459</v>
      </c>
      <c r="E181" s="244">
        <v>42399</v>
      </c>
      <c r="F181" s="243">
        <v>60</v>
      </c>
      <c r="G181" s="243" t="s">
        <v>253</v>
      </c>
      <c r="H181" s="243" t="s">
        <v>254</v>
      </c>
      <c r="I181" s="243">
        <v>2071</v>
      </c>
      <c r="J181" s="243">
        <v>0</v>
      </c>
      <c r="K181" s="243">
        <v>0</v>
      </c>
      <c r="L181" s="243">
        <v>337.66</v>
      </c>
      <c r="M181" s="243">
        <v>-62.63</v>
      </c>
      <c r="N181" s="243">
        <v>297.13</v>
      </c>
      <c r="O181">
        <v>2016</v>
      </c>
      <c r="P181" s="310">
        <f t="shared" si="4"/>
        <v>3</v>
      </c>
      <c r="Q181" s="310"/>
      <c r="R181" s="244">
        <v>42399</v>
      </c>
      <c r="S181" s="240" t="str">
        <f t="shared" si="5"/>
        <v>Mar</v>
      </c>
      <c r="T181" s="230" t="s">
        <v>255</v>
      </c>
    </row>
    <row r="182" spans="1:20" x14ac:dyDescent="0.25">
      <c r="A182" s="243">
        <v>8409184000</v>
      </c>
      <c r="B182" s="240" t="str">
        <f>VLOOKUP(A182,'Energy Provider Accounts'!C:F,2,FALSE)</f>
        <v>Sewer District Cliff View/Mare's Lane</v>
      </c>
      <c r="C182" s="243" t="s">
        <v>230</v>
      </c>
      <c r="D182" s="244">
        <v>42517</v>
      </c>
      <c r="E182" s="244">
        <v>42457</v>
      </c>
      <c r="F182" s="243">
        <v>60</v>
      </c>
      <c r="G182" s="243" t="s">
        <v>253</v>
      </c>
      <c r="H182" s="243" t="s">
        <v>254</v>
      </c>
      <c r="I182" s="243">
        <v>2032</v>
      </c>
      <c r="J182" s="243">
        <v>0</v>
      </c>
      <c r="K182" s="243">
        <v>0</v>
      </c>
      <c r="L182" s="243">
        <v>269.74</v>
      </c>
      <c r="M182" s="243">
        <v>-30.62</v>
      </c>
      <c r="N182" s="243">
        <v>258.33</v>
      </c>
      <c r="O182">
        <v>2016</v>
      </c>
      <c r="P182" s="310">
        <f t="shared" si="4"/>
        <v>5</v>
      </c>
      <c r="Q182" s="310"/>
      <c r="R182" s="244">
        <v>42457</v>
      </c>
      <c r="S182" s="240" t="str">
        <f t="shared" si="5"/>
        <v>May</v>
      </c>
      <c r="T182" s="230" t="s">
        <v>255</v>
      </c>
    </row>
    <row r="183" spans="1:20" x14ac:dyDescent="0.25">
      <c r="A183" s="243">
        <v>8409184000</v>
      </c>
      <c r="B183" s="240" t="str">
        <f>VLOOKUP(A183,'Energy Provider Accounts'!C:F,2,FALSE)</f>
        <v>Sewer District Cliff View/Mare's Lane</v>
      </c>
      <c r="C183" s="243" t="s">
        <v>230</v>
      </c>
      <c r="D183" s="244">
        <v>42552</v>
      </c>
      <c r="E183" s="244">
        <v>42522</v>
      </c>
      <c r="F183" s="243">
        <v>30</v>
      </c>
      <c r="G183" s="243" t="s">
        <v>256</v>
      </c>
      <c r="H183" s="243" t="s">
        <v>254</v>
      </c>
      <c r="I183" s="243">
        <v>330</v>
      </c>
      <c r="J183" s="243">
        <v>0</v>
      </c>
      <c r="K183" s="243">
        <v>0</v>
      </c>
      <c r="L183" s="243">
        <v>41.52</v>
      </c>
      <c r="M183" s="243">
        <v>19.59</v>
      </c>
      <c r="N183" s="243">
        <v>66.02</v>
      </c>
      <c r="O183">
        <v>2016</v>
      </c>
      <c r="P183" s="310">
        <f t="shared" si="4"/>
        <v>7</v>
      </c>
      <c r="Q183" s="310"/>
      <c r="R183" s="244">
        <v>42522</v>
      </c>
      <c r="S183" s="240" t="str">
        <f t="shared" si="5"/>
        <v>Jul</v>
      </c>
      <c r="T183" s="230" t="s">
        <v>255</v>
      </c>
    </row>
    <row r="184" spans="1:20" x14ac:dyDescent="0.25">
      <c r="A184" s="243">
        <v>8409184000</v>
      </c>
      <c r="B184" s="240" t="str">
        <f>VLOOKUP(A184,'Energy Provider Accounts'!C:F,2,FALSE)</f>
        <v>Sewer District Cliff View/Mare's Lane</v>
      </c>
      <c r="C184" s="243" t="s">
        <v>230</v>
      </c>
      <c r="D184" s="244">
        <v>42580</v>
      </c>
      <c r="E184" s="244">
        <v>42550</v>
      </c>
      <c r="F184" s="243">
        <v>30</v>
      </c>
      <c r="G184" s="243" t="s">
        <v>253</v>
      </c>
      <c r="H184" s="243" t="s">
        <v>254</v>
      </c>
      <c r="I184" s="243">
        <v>1774</v>
      </c>
      <c r="J184" s="243">
        <v>0</v>
      </c>
      <c r="K184" s="243">
        <v>0</v>
      </c>
      <c r="L184" s="243">
        <v>194.4</v>
      </c>
      <c r="M184" s="243">
        <v>-16.63</v>
      </c>
      <c r="N184" s="243">
        <v>192.06</v>
      </c>
      <c r="O184">
        <v>2016</v>
      </c>
      <c r="P184" s="310">
        <f t="shared" si="4"/>
        <v>7</v>
      </c>
      <c r="Q184" s="310"/>
      <c r="R184" s="244">
        <v>42550</v>
      </c>
      <c r="S184" s="240" t="str">
        <f t="shared" si="5"/>
        <v>Jul</v>
      </c>
      <c r="T184" s="230" t="s">
        <v>255</v>
      </c>
    </row>
    <row r="185" spans="1:20" x14ac:dyDescent="0.25">
      <c r="A185" s="243">
        <v>8409184000</v>
      </c>
      <c r="B185" s="240" t="str">
        <f>VLOOKUP(A185,'Energy Provider Accounts'!C:F,2,FALSE)</f>
        <v>Sewer District Cliff View/Mare's Lane</v>
      </c>
      <c r="C185" s="243" t="s">
        <v>230</v>
      </c>
      <c r="D185" s="244">
        <v>42613</v>
      </c>
      <c r="E185" s="244">
        <v>42583</v>
      </c>
      <c r="F185" s="243">
        <v>30</v>
      </c>
      <c r="G185" s="243" t="s">
        <v>256</v>
      </c>
      <c r="H185" s="243" t="s">
        <v>254</v>
      </c>
      <c r="I185" s="243">
        <v>384</v>
      </c>
      <c r="J185" s="243">
        <v>0</v>
      </c>
      <c r="K185" s="243">
        <v>0</v>
      </c>
      <c r="L185" s="243">
        <v>56.2</v>
      </c>
      <c r="M185" s="243">
        <v>17.03</v>
      </c>
      <c r="N185" s="243">
        <v>79.12</v>
      </c>
      <c r="O185">
        <v>2016</v>
      </c>
      <c r="P185" s="310">
        <f t="shared" ref="P185:P297" si="6">MONTH(D185)</f>
        <v>8</v>
      </c>
      <c r="Q185" s="310"/>
      <c r="R185" s="244">
        <v>42583</v>
      </c>
      <c r="S185" s="240" t="str">
        <f t="shared" si="5"/>
        <v>Aug</v>
      </c>
      <c r="T185" s="230" t="s">
        <v>255</v>
      </c>
    </row>
    <row r="186" spans="1:20" x14ac:dyDescent="0.25">
      <c r="A186" s="243">
        <v>8409184000</v>
      </c>
      <c r="B186" s="240" t="str">
        <f>VLOOKUP(A186,'Energy Provider Accounts'!C:F,2,FALSE)</f>
        <v>Sewer District Cliff View/Mare's Lane</v>
      </c>
      <c r="C186" s="243" t="s">
        <v>230</v>
      </c>
      <c r="D186" s="244">
        <v>42643</v>
      </c>
      <c r="E186" s="244">
        <v>42613</v>
      </c>
      <c r="F186" s="243">
        <v>30</v>
      </c>
      <c r="G186" s="243" t="s">
        <v>256</v>
      </c>
      <c r="H186" s="243" t="s">
        <v>254</v>
      </c>
      <c r="I186" s="243">
        <v>328</v>
      </c>
      <c r="J186" s="243">
        <v>0</v>
      </c>
      <c r="K186" s="243">
        <v>0</v>
      </c>
      <c r="L186" s="243">
        <v>43.98</v>
      </c>
      <c r="M186" s="243">
        <v>21.69</v>
      </c>
      <c r="N186" s="243">
        <v>70.95</v>
      </c>
      <c r="O186">
        <v>2016</v>
      </c>
      <c r="P186" s="310">
        <f t="shared" si="6"/>
        <v>9</v>
      </c>
      <c r="Q186" s="310"/>
      <c r="R186" s="244">
        <v>42613</v>
      </c>
      <c r="S186" s="240" t="str">
        <f t="shared" ref="S186:S298" si="7">CHOOSE(P186,"Jan","Feb","Mar","Apr","May","Jun","Jul","Aug","Sep","Oct","Nov","Dec")</f>
        <v>Sep</v>
      </c>
      <c r="T186" s="230" t="s">
        <v>255</v>
      </c>
    </row>
    <row r="187" spans="1:20" x14ac:dyDescent="0.25">
      <c r="A187" s="243">
        <v>8409184000</v>
      </c>
      <c r="B187" s="240" t="str">
        <f>VLOOKUP(A187,'Energy Provider Accounts'!C:F,2,FALSE)</f>
        <v>Sewer District Cliff View/Mare's Lane</v>
      </c>
      <c r="C187" s="243" t="s">
        <v>230</v>
      </c>
      <c r="D187" s="244">
        <v>42674</v>
      </c>
      <c r="E187" s="244">
        <v>42644</v>
      </c>
      <c r="F187" s="243">
        <v>30</v>
      </c>
      <c r="G187" s="243" t="s">
        <v>256</v>
      </c>
      <c r="H187" s="243" t="s">
        <v>254</v>
      </c>
      <c r="I187" s="243">
        <v>627</v>
      </c>
      <c r="J187" s="243">
        <v>0</v>
      </c>
      <c r="K187" s="243">
        <v>0</v>
      </c>
      <c r="L187" s="243">
        <v>70.75</v>
      </c>
      <c r="M187" s="243">
        <v>16.43</v>
      </c>
      <c r="N187" s="243">
        <v>94.19</v>
      </c>
      <c r="O187">
        <v>2016</v>
      </c>
      <c r="P187" s="310">
        <f t="shared" si="6"/>
        <v>10</v>
      </c>
      <c r="Q187" s="310"/>
      <c r="R187" s="244">
        <v>42644</v>
      </c>
      <c r="S187" s="240" t="str">
        <f t="shared" si="7"/>
        <v>Oct</v>
      </c>
      <c r="T187" s="230" t="s">
        <v>255</v>
      </c>
    </row>
    <row r="188" spans="1:20" x14ac:dyDescent="0.25">
      <c r="A188" s="243">
        <v>8409184000</v>
      </c>
      <c r="B188" s="240" t="str">
        <f>VLOOKUP(A188,'Energy Provider Accounts'!C:F,2,FALSE)</f>
        <v>Sewer District Cliff View/Mare's Lane</v>
      </c>
      <c r="C188" s="243" t="s">
        <v>230</v>
      </c>
      <c r="D188" s="244">
        <v>42705</v>
      </c>
      <c r="E188" s="244">
        <v>42675</v>
      </c>
      <c r="F188" s="243">
        <v>30</v>
      </c>
      <c r="G188" s="243" t="s">
        <v>253</v>
      </c>
      <c r="H188" s="243" t="s">
        <v>254</v>
      </c>
      <c r="I188" s="243">
        <v>571</v>
      </c>
      <c r="J188" s="243">
        <v>0</v>
      </c>
      <c r="K188" s="243">
        <v>0</v>
      </c>
      <c r="L188" s="243">
        <v>81.39</v>
      </c>
      <c r="M188" s="243">
        <v>9.4700000000000006</v>
      </c>
      <c r="N188" s="243">
        <v>98.16</v>
      </c>
      <c r="O188">
        <v>2016</v>
      </c>
      <c r="P188" s="310">
        <f t="shared" si="6"/>
        <v>12</v>
      </c>
      <c r="Q188" s="310"/>
      <c r="R188" s="244">
        <v>42675</v>
      </c>
      <c r="S188" s="240" t="str">
        <f t="shared" si="7"/>
        <v>Dec</v>
      </c>
      <c r="T188" s="230" t="s">
        <v>255</v>
      </c>
    </row>
    <row r="189" spans="1:20" x14ac:dyDescent="0.25">
      <c r="A189" s="243">
        <v>8409184000</v>
      </c>
      <c r="B189" s="240" t="str">
        <f>VLOOKUP(A189,'Energy Provider Accounts'!C:F,2,FALSE)</f>
        <v>Sewer District Cliff View/Mare's Lane</v>
      </c>
      <c r="C189" s="243" t="s">
        <v>230</v>
      </c>
      <c r="D189" s="244">
        <v>42739</v>
      </c>
      <c r="E189" s="244">
        <v>42709</v>
      </c>
      <c r="F189" s="243">
        <v>30</v>
      </c>
      <c r="G189" s="243" t="s">
        <v>256</v>
      </c>
      <c r="H189" s="243" t="s">
        <v>254</v>
      </c>
      <c r="I189" s="243">
        <v>687</v>
      </c>
      <c r="J189" s="243">
        <v>0</v>
      </c>
      <c r="K189" s="243">
        <v>0</v>
      </c>
      <c r="L189" s="243">
        <v>77.98</v>
      </c>
      <c r="M189" s="243">
        <v>13.9</v>
      </c>
      <c r="N189" s="243">
        <v>99.27</v>
      </c>
      <c r="O189">
        <v>2017</v>
      </c>
      <c r="P189" s="310">
        <f t="shared" si="6"/>
        <v>1</v>
      </c>
      <c r="Q189" s="310"/>
      <c r="R189" s="244">
        <v>42709</v>
      </c>
      <c r="S189" s="240" t="str">
        <f t="shared" si="7"/>
        <v>Jan</v>
      </c>
      <c r="T189" s="230" t="s">
        <v>255</v>
      </c>
    </row>
    <row r="190" spans="1:20" x14ac:dyDescent="0.25">
      <c r="A190" s="243">
        <v>8409184000</v>
      </c>
      <c r="B190" s="240" t="str">
        <f>VLOOKUP(A190,'Energy Provider Accounts'!C:F,2,FALSE)</f>
        <v>Sewer District Cliff View/Mare's Lane</v>
      </c>
      <c r="C190" s="243" t="s">
        <v>230</v>
      </c>
      <c r="D190" s="244">
        <v>42767</v>
      </c>
      <c r="E190" s="244">
        <v>42737</v>
      </c>
      <c r="F190" s="243">
        <v>30</v>
      </c>
      <c r="G190" s="243" t="s">
        <v>253</v>
      </c>
      <c r="H190" s="243" t="s">
        <v>254</v>
      </c>
      <c r="I190" s="243">
        <v>269</v>
      </c>
      <c r="J190" s="243">
        <v>0</v>
      </c>
      <c r="K190" s="243">
        <v>0</v>
      </c>
      <c r="L190" s="243">
        <v>37.369999999999997</v>
      </c>
      <c r="M190" s="243">
        <v>21.08</v>
      </c>
      <c r="N190" s="243">
        <v>63.16</v>
      </c>
      <c r="O190">
        <v>2017</v>
      </c>
      <c r="P190" s="310">
        <f t="shared" si="6"/>
        <v>2</v>
      </c>
      <c r="Q190" s="310"/>
      <c r="R190" s="244">
        <v>42737</v>
      </c>
      <c r="S190" s="240" t="str">
        <f t="shared" si="7"/>
        <v>Feb</v>
      </c>
      <c r="T190" s="230" t="s">
        <v>252</v>
      </c>
    </row>
    <row r="191" spans="1:20" x14ac:dyDescent="0.25">
      <c r="A191" s="243">
        <v>8409184000</v>
      </c>
      <c r="B191" s="240" t="str">
        <f>VLOOKUP(A191,'Energy Provider Accounts'!C:F,2,FALSE)</f>
        <v>Sewer District Cliff View/Mare's Lane</v>
      </c>
      <c r="C191" s="243" t="s">
        <v>230</v>
      </c>
      <c r="D191" s="244">
        <v>42797</v>
      </c>
      <c r="E191" s="244">
        <v>42767</v>
      </c>
      <c r="F191" s="243">
        <v>30</v>
      </c>
      <c r="G191" s="243" t="s">
        <v>256</v>
      </c>
      <c r="H191" s="243" t="s">
        <v>254</v>
      </c>
      <c r="I191" s="243">
        <v>1035</v>
      </c>
      <c r="J191" s="243">
        <v>0</v>
      </c>
      <c r="K191" s="243">
        <v>0</v>
      </c>
      <c r="L191" s="243">
        <v>152.79</v>
      </c>
      <c r="M191" s="243">
        <v>-22.62</v>
      </c>
      <c r="N191" s="243">
        <v>140.65</v>
      </c>
      <c r="O191">
        <v>2017</v>
      </c>
      <c r="P191" s="310">
        <f t="shared" si="6"/>
        <v>3</v>
      </c>
      <c r="Q191" s="310"/>
      <c r="R191" s="244">
        <v>42767</v>
      </c>
      <c r="S191" s="240" t="str">
        <f t="shared" si="7"/>
        <v>Mar</v>
      </c>
      <c r="T191" s="230" t="s">
        <v>252</v>
      </c>
    </row>
    <row r="192" spans="1:20" x14ac:dyDescent="0.25">
      <c r="A192" s="243">
        <v>8409184000</v>
      </c>
      <c r="B192" s="240" t="str">
        <f>VLOOKUP(A192,'Energy Provider Accounts'!C:F,2,FALSE)</f>
        <v>Sewer District Cliff View/Mare's Lane</v>
      </c>
      <c r="C192" s="243" t="s">
        <v>230</v>
      </c>
      <c r="D192" s="244">
        <v>42825</v>
      </c>
      <c r="E192" s="244">
        <v>42765</v>
      </c>
      <c r="F192" s="243">
        <v>60</v>
      </c>
      <c r="G192" s="243" t="s">
        <v>253</v>
      </c>
      <c r="H192" s="243" t="s">
        <v>254</v>
      </c>
      <c r="I192" s="243">
        <v>372</v>
      </c>
      <c r="J192" s="243">
        <v>0</v>
      </c>
      <c r="K192" s="243">
        <v>0</v>
      </c>
      <c r="L192" s="243">
        <v>49.05</v>
      </c>
      <c r="M192" s="243">
        <v>52.35</v>
      </c>
      <c r="N192" s="243">
        <v>109.57</v>
      </c>
      <c r="O192">
        <v>2017</v>
      </c>
      <c r="P192" s="310">
        <f t="shared" si="6"/>
        <v>3</v>
      </c>
      <c r="Q192" s="310"/>
      <c r="R192" s="244">
        <v>42765</v>
      </c>
      <c r="S192" s="240" t="str">
        <f t="shared" si="7"/>
        <v>Mar</v>
      </c>
      <c r="T192" s="230" t="s">
        <v>252</v>
      </c>
    </row>
    <row r="193" spans="1:21" x14ac:dyDescent="0.25">
      <c r="A193" s="243">
        <v>8409184000</v>
      </c>
      <c r="B193" s="240" t="str">
        <f>VLOOKUP(A193,'Energy Provider Accounts'!C:F,2,FALSE)</f>
        <v>Sewer District Cliff View/Mare's Lane</v>
      </c>
      <c r="C193" s="243" t="s">
        <v>230</v>
      </c>
      <c r="D193" s="244">
        <v>42857</v>
      </c>
      <c r="E193" s="244">
        <v>42827</v>
      </c>
      <c r="F193" s="243">
        <v>30</v>
      </c>
      <c r="G193" s="243" t="s">
        <v>256</v>
      </c>
      <c r="H193" s="243" t="s">
        <v>254</v>
      </c>
      <c r="I193" s="243">
        <v>1083</v>
      </c>
      <c r="J193" s="243">
        <v>0</v>
      </c>
      <c r="K193" s="243">
        <v>0</v>
      </c>
      <c r="L193" s="243">
        <v>174.89</v>
      </c>
      <c r="M193" s="243">
        <v>-32.9</v>
      </c>
      <c r="N193" s="243">
        <v>153.4</v>
      </c>
      <c r="O193">
        <v>2017</v>
      </c>
      <c r="P193" s="310">
        <f t="shared" si="6"/>
        <v>5</v>
      </c>
      <c r="Q193" s="310"/>
      <c r="R193" s="244">
        <v>42827</v>
      </c>
      <c r="S193" s="240" t="str">
        <f t="shared" si="7"/>
        <v>May</v>
      </c>
      <c r="T193" s="232" t="s">
        <v>252</v>
      </c>
    </row>
    <row r="194" spans="1:21" x14ac:dyDescent="0.25">
      <c r="A194" s="243">
        <v>8409184000</v>
      </c>
      <c r="B194" s="240" t="str">
        <f>VLOOKUP(A194,'Energy Provider Accounts'!C:F,2,FALSE)</f>
        <v>Sewer District Cliff View/Mare's Lane</v>
      </c>
      <c r="C194" s="243" t="s">
        <v>230</v>
      </c>
      <c r="D194" s="244">
        <v>42887</v>
      </c>
      <c r="E194" s="244">
        <v>42827</v>
      </c>
      <c r="F194" s="243">
        <v>60</v>
      </c>
      <c r="G194" s="243" t="s">
        <v>253</v>
      </c>
      <c r="H194" s="243" t="s">
        <v>254</v>
      </c>
      <c r="I194" s="243">
        <v>384</v>
      </c>
      <c r="J194" s="243">
        <v>0</v>
      </c>
      <c r="K194" s="243">
        <v>0</v>
      </c>
      <c r="L194" s="243">
        <v>63.74</v>
      </c>
      <c r="M194" s="243">
        <v>45.05</v>
      </c>
      <c r="N194" s="243">
        <v>117.55</v>
      </c>
      <c r="O194">
        <v>2017</v>
      </c>
      <c r="P194" s="310">
        <f t="shared" si="6"/>
        <v>6</v>
      </c>
      <c r="Q194" s="310"/>
      <c r="R194" s="244">
        <v>42827</v>
      </c>
      <c r="S194" s="240" t="str">
        <f t="shared" si="7"/>
        <v>Jun</v>
      </c>
      <c r="T194" s="230" t="s">
        <v>252</v>
      </c>
    </row>
    <row r="195" spans="1:21" x14ac:dyDescent="0.25">
      <c r="A195" s="243">
        <v>8409184000</v>
      </c>
      <c r="B195" s="240" t="str">
        <f>VLOOKUP(A195,'Energy Provider Accounts'!C:F,2,FALSE)</f>
        <v>Sewer District Cliff View/Mare's Lane</v>
      </c>
      <c r="C195" s="243" t="s">
        <v>230</v>
      </c>
      <c r="D195" s="244">
        <v>42916</v>
      </c>
      <c r="E195" s="244">
        <v>42886</v>
      </c>
      <c r="F195" s="243">
        <v>30</v>
      </c>
      <c r="G195" s="243" t="s">
        <v>256</v>
      </c>
      <c r="H195" s="243" t="s">
        <v>254</v>
      </c>
      <c r="I195" s="243">
        <v>1016</v>
      </c>
      <c r="J195" s="243">
        <v>0</v>
      </c>
      <c r="K195" s="243">
        <v>0</v>
      </c>
      <c r="L195" s="243">
        <v>124.32</v>
      </c>
      <c r="M195" s="243">
        <v>-9.33</v>
      </c>
      <c r="N195" s="243">
        <v>124.23</v>
      </c>
      <c r="O195">
        <v>2017</v>
      </c>
      <c r="P195" s="310">
        <f t="shared" si="6"/>
        <v>6</v>
      </c>
      <c r="Q195" s="310"/>
      <c r="R195" s="244">
        <v>42886</v>
      </c>
      <c r="S195" s="240" t="str">
        <f t="shared" si="7"/>
        <v>Jun</v>
      </c>
      <c r="T195" s="230" t="s">
        <v>252</v>
      </c>
    </row>
    <row r="196" spans="1:21" x14ac:dyDescent="0.25">
      <c r="A196" s="243">
        <v>8409184000</v>
      </c>
      <c r="B196" s="240" t="str">
        <f>VLOOKUP(A196,'Energy Provider Accounts'!C:F,2,FALSE)</f>
        <v>Sewer District Cliff View/Mare's Lane</v>
      </c>
      <c r="C196" s="243" t="s">
        <v>230</v>
      </c>
      <c r="D196" s="244">
        <v>42947</v>
      </c>
      <c r="E196" s="244">
        <v>42887</v>
      </c>
      <c r="F196" s="243">
        <v>60</v>
      </c>
      <c r="G196" s="243" t="s">
        <v>253</v>
      </c>
      <c r="H196" s="243" t="s">
        <v>254</v>
      </c>
      <c r="I196" s="243">
        <v>250</v>
      </c>
      <c r="J196" s="243">
        <v>0</v>
      </c>
      <c r="K196" s="243">
        <v>0</v>
      </c>
      <c r="L196" s="243">
        <v>33.200000000000003</v>
      </c>
      <c r="M196" s="243">
        <v>59.88</v>
      </c>
      <c r="N196" s="243">
        <v>100.57</v>
      </c>
      <c r="O196">
        <v>2017</v>
      </c>
      <c r="P196" s="310">
        <f t="shared" si="6"/>
        <v>7</v>
      </c>
      <c r="Q196" s="310"/>
      <c r="R196" s="244">
        <v>42887</v>
      </c>
      <c r="S196" s="240" t="str">
        <f t="shared" si="7"/>
        <v>Jul</v>
      </c>
      <c r="T196" s="230" t="s">
        <v>255</v>
      </c>
    </row>
    <row r="197" spans="1:21" x14ac:dyDescent="0.25">
      <c r="A197" s="243">
        <v>8409184000</v>
      </c>
      <c r="B197" s="240" t="str">
        <f>VLOOKUP(A197,'Energy Provider Accounts'!C:F,2,FALSE)</f>
        <v>Sewer District Cliff View/Mare's Lane</v>
      </c>
      <c r="C197" s="243" t="s">
        <v>230</v>
      </c>
      <c r="D197" s="244">
        <v>42977</v>
      </c>
      <c r="E197" s="244">
        <v>42947</v>
      </c>
      <c r="F197" s="243">
        <v>30</v>
      </c>
      <c r="G197" s="243" t="s">
        <v>256</v>
      </c>
      <c r="H197" s="243" t="s">
        <v>254</v>
      </c>
      <c r="I197" s="243">
        <v>477</v>
      </c>
      <c r="J197" s="243">
        <v>0</v>
      </c>
      <c r="K197" s="243">
        <v>0</v>
      </c>
      <c r="L197" s="243">
        <v>66.97</v>
      </c>
      <c r="M197" s="243">
        <v>18.260000000000002</v>
      </c>
      <c r="N197" s="243">
        <v>92.08</v>
      </c>
      <c r="O197">
        <v>2017</v>
      </c>
      <c r="P197" s="310">
        <f t="shared" si="6"/>
        <v>8</v>
      </c>
      <c r="Q197" s="310"/>
      <c r="R197" s="244">
        <v>42947</v>
      </c>
      <c r="S197" s="240" t="str">
        <f t="shared" si="7"/>
        <v>Aug</v>
      </c>
      <c r="T197" s="230" t="s">
        <v>255</v>
      </c>
    </row>
    <row r="198" spans="1:21" x14ac:dyDescent="0.25">
      <c r="A198" s="243">
        <v>8409184000</v>
      </c>
      <c r="B198" s="240" t="str">
        <f>VLOOKUP(A198,'Energy Provider Accounts'!C:F,2,FALSE)</f>
        <v>Sewer District Cliff View/Mare's Lane</v>
      </c>
      <c r="C198" s="243" t="s">
        <v>230</v>
      </c>
      <c r="D198" s="244">
        <v>43007</v>
      </c>
      <c r="E198" s="244">
        <v>42947</v>
      </c>
      <c r="F198" s="243">
        <v>60</v>
      </c>
      <c r="G198" s="243" t="s">
        <v>253</v>
      </c>
      <c r="H198" s="243" t="s">
        <v>254</v>
      </c>
      <c r="I198" s="243">
        <v>245</v>
      </c>
      <c r="J198" s="243">
        <v>0</v>
      </c>
      <c r="K198" s="243">
        <v>0</v>
      </c>
      <c r="L198" s="243">
        <v>31.17</v>
      </c>
      <c r="M198" s="243">
        <v>63.08</v>
      </c>
      <c r="N198" s="243">
        <v>101.84</v>
      </c>
      <c r="O198">
        <v>2017</v>
      </c>
      <c r="P198" s="310">
        <f t="shared" si="6"/>
        <v>9</v>
      </c>
      <c r="Q198" s="310"/>
      <c r="R198" s="244">
        <v>42947</v>
      </c>
      <c r="S198" s="240" t="str">
        <f t="shared" si="7"/>
        <v>Sep</v>
      </c>
      <c r="T198" s="230" t="s">
        <v>255</v>
      </c>
    </row>
    <row r="199" spans="1:21" x14ac:dyDescent="0.25">
      <c r="A199" s="243">
        <v>8409184000</v>
      </c>
      <c r="B199" s="240" t="str">
        <f>VLOOKUP(A199,'Energy Provider Accounts'!C:F,2,FALSE)</f>
        <v>Sewer District Cliff View/Mare's Lane</v>
      </c>
      <c r="C199" s="243" t="s">
        <v>230</v>
      </c>
      <c r="D199" s="244">
        <v>43038</v>
      </c>
      <c r="E199" s="244">
        <v>43008</v>
      </c>
      <c r="F199" s="243">
        <v>30</v>
      </c>
      <c r="G199" s="243" t="s">
        <v>256</v>
      </c>
      <c r="H199" s="243" t="s">
        <v>254</v>
      </c>
      <c r="I199" s="243">
        <v>493</v>
      </c>
      <c r="J199" s="243">
        <v>0</v>
      </c>
      <c r="K199" s="243">
        <v>0</v>
      </c>
      <c r="L199" s="243">
        <v>60.98</v>
      </c>
      <c r="M199" s="243">
        <v>21.97</v>
      </c>
      <c r="N199" s="243">
        <v>89.61</v>
      </c>
      <c r="O199">
        <v>2017</v>
      </c>
      <c r="P199" s="310">
        <f t="shared" si="6"/>
        <v>10</v>
      </c>
      <c r="Q199" s="310"/>
      <c r="R199" s="244">
        <v>43008</v>
      </c>
      <c r="S199" s="240" t="str">
        <f t="shared" si="7"/>
        <v>Oct</v>
      </c>
      <c r="T199" s="230" t="s">
        <v>255</v>
      </c>
    </row>
    <row r="200" spans="1:21" x14ac:dyDescent="0.25">
      <c r="A200" s="243">
        <v>8409184000</v>
      </c>
      <c r="B200" s="240" t="str">
        <f>VLOOKUP(A200,'Energy Provider Accounts'!C:F,2,FALSE)</f>
        <v>Sewer District Cliff View/Mare's Lane</v>
      </c>
      <c r="C200" s="243" t="s">
        <v>230</v>
      </c>
      <c r="D200" s="244">
        <v>43070</v>
      </c>
      <c r="E200" s="244">
        <v>43010</v>
      </c>
      <c r="F200" s="243">
        <v>60</v>
      </c>
      <c r="G200" s="243" t="s">
        <v>253</v>
      </c>
      <c r="H200" s="243" t="s">
        <v>254</v>
      </c>
      <c r="I200" s="243">
        <v>334</v>
      </c>
      <c r="J200" s="243">
        <v>0</v>
      </c>
      <c r="K200" s="243">
        <v>0</v>
      </c>
      <c r="L200" s="243">
        <v>43.63</v>
      </c>
      <c r="M200" s="243">
        <v>60.05</v>
      </c>
      <c r="N200" s="243">
        <v>112.01</v>
      </c>
      <c r="O200">
        <v>2017</v>
      </c>
      <c r="P200" s="310">
        <f t="shared" si="6"/>
        <v>12</v>
      </c>
      <c r="Q200" s="310"/>
      <c r="R200" s="244">
        <v>43010</v>
      </c>
      <c r="S200" s="240" t="str">
        <f t="shared" si="7"/>
        <v>Dec</v>
      </c>
      <c r="T200" s="230" t="s">
        <v>255</v>
      </c>
    </row>
    <row r="201" spans="1:21" x14ac:dyDescent="0.25">
      <c r="A201" s="243">
        <v>8409184000</v>
      </c>
      <c r="B201" s="240" t="str">
        <f>VLOOKUP(A201,'Energy Provider Accounts'!C:F,2,FALSE)</f>
        <v>Sewer District Cliff View/Mare's Lane</v>
      </c>
      <c r="C201" s="243" t="s">
        <v>230</v>
      </c>
      <c r="D201" s="332">
        <v>43103</v>
      </c>
      <c r="E201" s="332">
        <v>43070</v>
      </c>
      <c r="F201" s="333">
        <v>34</v>
      </c>
      <c r="G201" s="333" t="s">
        <v>256</v>
      </c>
      <c r="H201" s="333" t="s">
        <v>254</v>
      </c>
      <c r="I201" s="333">
        <v>525</v>
      </c>
      <c r="J201" s="333"/>
      <c r="K201" s="333"/>
      <c r="L201" s="333"/>
      <c r="M201" s="333"/>
      <c r="N201" s="334">
        <v>105</v>
      </c>
      <c r="O201" s="335">
        <v>2018</v>
      </c>
      <c r="P201" s="336">
        <f t="shared" si="6"/>
        <v>1</v>
      </c>
      <c r="Q201" s="336"/>
      <c r="R201" s="332">
        <v>43070</v>
      </c>
      <c r="S201" s="337" t="str">
        <f t="shared" si="7"/>
        <v>Jan</v>
      </c>
      <c r="T201" s="338" t="s">
        <v>252</v>
      </c>
      <c r="U201" t="s">
        <v>272</v>
      </c>
    </row>
    <row r="202" spans="1:21" x14ac:dyDescent="0.25">
      <c r="A202" s="243">
        <v>8409184000</v>
      </c>
      <c r="B202" s="240" t="str">
        <f>VLOOKUP(A202,'Energy Provider Accounts'!C:F,2,FALSE)</f>
        <v>Sewer District Cliff View/Mare's Lane</v>
      </c>
      <c r="C202" s="243" t="s">
        <v>230</v>
      </c>
      <c r="D202" s="332">
        <v>43132</v>
      </c>
      <c r="E202" s="332">
        <v>43103</v>
      </c>
      <c r="F202" s="333">
        <v>28</v>
      </c>
      <c r="G202" s="333" t="s">
        <v>263</v>
      </c>
      <c r="H202" s="333" t="s">
        <v>254</v>
      </c>
      <c r="I202" s="333">
        <v>458</v>
      </c>
      <c r="J202" s="333"/>
      <c r="K202" s="333"/>
      <c r="L202" s="333"/>
      <c r="M202" s="333"/>
      <c r="N202" s="333">
        <v>91.06</v>
      </c>
      <c r="O202" s="335">
        <v>2018</v>
      </c>
      <c r="P202" s="336">
        <f t="shared" si="6"/>
        <v>2</v>
      </c>
      <c r="Q202" s="336"/>
      <c r="R202" s="332">
        <v>43103</v>
      </c>
      <c r="S202" s="337" t="str">
        <f t="shared" si="7"/>
        <v>Feb</v>
      </c>
      <c r="T202" s="338" t="s">
        <v>252</v>
      </c>
      <c r="U202" t="s">
        <v>272</v>
      </c>
    </row>
    <row r="203" spans="1:21" x14ac:dyDescent="0.25">
      <c r="A203" s="243">
        <v>8409184000</v>
      </c>
      <c r="B203" s="240" t="str">
        <f>VLOOKUP(A203,'Energy Provider Accounts'!C:F,2,FALSE)</f>
        <v>Sewer District Cliff View/Mare's Lane</v>
      </c>
      <c r="C203" s="243" t="s">
        <v>230</v>
      </c>
      <c r="D203" s="244">
        <v>43161</v>
      </c>
      <c r="E203" s="244">
        <v>43132</v>
      </c>
      <c r="F203" s="243">
        <v>30</v>
      </c>
      <c r="G203" s="243" t="s">
        <v>263</v>
      </c>
      <c r="H203" s="243" t="s">
        <v>254</v>
      </c>
      <c r="I203" s="243">
        <v>179</v>
      </c>
      <c r="J203" s="243"/>
      <c r="K203" s="243"/>
      <c r="L203" s="243">
        <v>23.34</v>
      </c>
      <c r="M203" s="243">
        <v>41.25</v>
      </c>
      <c r="N203" s="243">
        <v>64.59</v>
      </c>
      <c r="O203" s="318">
        <v>2018</v>
      </c>
      <c r="P203" s="310">
        <v>2</v>
      </c>
      <c r="Q203" s="310"/>
      <c r="R203" s="244">
        <v>43132</v>
      </c>
      <c r="S203" s="240" t="s">
        <v>82</v>
      </c>
      <c r="T203" s="230" t="s">
        <v>252</v>
      </c>
    </row>
    <row r="204" spans="1:21" x14ac:dyDescent="0.25">
      <c r="A204" s="243">
        <v>8409184000</v>
      </c>
      <c r="B204" s="240" t="str">
        <f>VLOOKUP(A204,'Energy Provider Accounts'!C:F,2,FALSE)</f>
        <v>Sewer District Cliff View/Mare's Lane</v>
      </c>
      <c r="C204" s="243" t="s">
        <v>230</v>
      </c>
      <c r="D204" s="332">
        <v>43193</v>
      </c>
      <c r="E204" s="332">
        <v>43161</v>
      </c>
      <c r="F204" s="333">
        <v>33</v>
      </c>
      <c r="G204" s="333" t="s">
        <v>256</v>
      </c>
      <c r="H204" s="333" t="s">
        <v>254</v>
      </c>
      <c r="I204" s="333">
        <v>388</v>
      </c>
      <c r="J204" s="333"/>
      <c r="K204" s="333"/>
      <c r="L204" s="333"/>
      <c r="M204" s="333"/>
      <c r="N204" s="334">
        <v>77.599999999999994</v>
      </c>
      <c r="O204" s="333">
        <v>2018</v>
      </c>
      <c r="P204" s="336">
        <v>3</v>
      </c>
      <c r="Q204" s="336"/>
      <c r="R204" s="332">
        <v>43161</v>
      </c>
      <c r="S204" s="339" t="s">
        <v>83</v>
      </c>
      <c r="T204" s="338" t="s">
        <v>252</v>
      </c>
      <c r="U204" t="s">
        <v>272</v>
      </c>
    </row>
    <row r="205" spans="1:21" x14ac:dyDescent="0.25">
      <c r="A205" s="243">
        <v>8409184000</v>
      </c>
      <c r="B205" s="240" t="str">
        <f>VLOOKUP(A205,'Energy Provider Accounts'!C:F,2,FALSE)</f>
        <v>Sewer District Cliff View/Mare's Lane</v>
      </c>
      <c r="C205" s="243" t="s">
        <v>230</v>
      </c>
      <c r="D205" s="244">
        <v>43222</v>
      </c>
      <c r="E205" s="244">
        <v>43193</v>
      </c>
      <c r="F205" s="243">
        <v>29</v>
      </c>
      <c r="G205" s="243" t="s">
        <v>256</v>
      </c>
      <c r="H205" s="243" t="s">
        <v>254</v>
      </c>
      <c r="I205" s="243">
        <v>185</v>
      </c>
      <c r="J205" s="243"/>
      <c r="K205" s="243"/>
      <c r="L205" s="243">
        <v>15.51</v>
      </c>
      <c r="M205" s="243">
        <v>42.14</v>
      </c>
      <c r="N205" s="243">
        <v>57.65</v>
      </c>
      <c r="O205" s="318">
        <v>2018</v>
      </c>
      <c r="P205" s="310">
        <v>4</v>
      </c>
      <c r="Q205" s="310"/>
      <c r="R205" s="244">
        <v>43193</v>
      </c>
      <c r="S205" s="240" t="s">
        <v>84</v>
      </c>
      <c r="T205" s="230" t="s">
        <v>252</v>
      </c>
    </row>
    <row r="206" spans="1:21" x14ac:dyDescent="0.25">
      <c r="A206" s="243">
        <v>8409184000</v>
      </c>
      <c r="B206" s="240" t="str">
        <f>VLOOKUP(A206,'Energy Provider Accounts'!C:F,2,FALSE)</f>
        <v>Sewer District Cliff View/Mare's Lane</v>
      </c>
      <c r="C206" s="243" t="s">
        <v>230</v>
      </c>
      <c r="D206" s="244">
        <v>43252</v>
      </c>
      <c r="E206" s="244">
        <v>43222</v>
      </c>
      <c r="F206" s="243">
        <v>31</v>
      </c>
      <c r="G206" s="243" t="s">
        <v>256</v>
      </c>
      <c r="H206" s="243" t="s">
        <v>254</v>
      </c>
      <c r="I206" s="243">
        <v>186</v>
      </c>
      <c r="J206" s="243"/>
      <c r="K206" s="243"/>
      <c r="L206" s="243">
        <v>20.95</v>
      </c>
      <c r="M206" s="243">
        <v>41.81</v>
      </c>
      <c r="N206" s="243">
        <v>62.76</v>
      </c>
      <c r="O206" s="318">
        <v>2018</v>
      </c>
      <c r="P206" s="310">
        <v>5</v>
      </c>
      <c r="Q206" s="310"/>
      <c r="R206" s="244">
        <v>408464</v>
      </c>
      <c r="S206" s="240" t="s">
        <v>85</v>
      </c>
      <c r="T206" s="230" t="s">
        <v>252</v>
      </c>
    </row>
    <row r="207" spans="1:21" x14ac:dyDescent="0.25">
      <c r="A207" s="243">
        <v>8409184000</v>
      </c>
      <c r="B207" s="240" t="str">
        <f>VLOOKUP(A207,'Energy Provider Accounts'!C:F,2,FALSE)</f>
        <v>Sewer District Cliff View/Mare's Lane</v>
      </c>
      <c r="C207" s="243" t="s">
        <v>230</v>
      </c>
      <c r="D207" s="332">
        <v>43283</v>
      </c>
      <c r="E207" s="332">
        <v>43252</v>
      </c>
      <c r="F207" s="333">
        <v>32</v>
      </c>
      <c r="G207" s="333" t="s">
        <v>263</v>
      </c>
      <c r="H207" s="333" t="s">
        <v>254</v>
      </c>
      <c r="I207" s="333">
        <v>129</v>
      </c>
      <c r="J207" s="333"/>
      <c r="K207" s="333"/>
      <c r="L207" s="333"/>
      <c r="M207" s="333"/>
      <c r="N207" s="333">
        <v>25.8</v>
      </c>
      <c r="O207" s="333">
        <v>2018</v>
      </c>
      <c r="P207" s="336">
        <v>6</v>
      </c>
      <c r="Q207" s="336"/>
      <c r="R207" s="332">
        <v>43252</v>
      </c>
      <c r="S207" s="337" t="s">
        <v>86</v>
      </c>
      <c r="T207" s="338" t="s">
        <v>252</v>
      </c>
      <c r="U207" t="s">
        <v>272</v>
      </c>
    </row>
    <row r="208" spans="1:21" x14ac:dyDescent="0.25">
      <c r="A208" s="243">
        <v>8409184000</v>
      </c>
      <c r="B208" s="240" t="str">
        <f>VLOOKUP(A208,'Energy Provider Accounts'!C:F,2,FALSE)</f>
        <v>Sewer District Cliff View/Mare's Lane</v>
      </c>
      <c r="C208" s="243" t="s">
        <v>230</v>
      </c>
      <c r="D208" s="244">
        <v>43342</v>
      </c>
      <c r="E208" s="244">
        <v>43313</v>
      </c>
      <c r="F208" s="243">
        <v>30</v>
      </c>
      <c r="G208" s="243" t="s">
        <v>256</v>
      </c>
      <c r="H208" s="243" t="s">
        <v>254</v>
      </c>
      <c r="I208" s="243">
        <v>118</v>
      </c>
      <c r="J208" s="243"/>
      <c r="K208" s="243"/>
      <c r="L208" s="243">
        <v>13.17</v>
      </c>
      <c r="M208" s="243">
        <v>37.049999999999997</v>
      </c>
      <c r="N208" s="243">
        <v>50.22</v>
      </c>
      <c r="O208" s="318">
        <v>2018</v>
      </c>
      <c r="P208" s="310">
        <v>8</v>
      </c>
      <c r="Q208" s="310"/>
      <c r="R208" s="244">
        <v>43313</v>
      </c>
      <c r="S208" s="261" t="s">
        <v>88</v>
      </c>
      <c r="T208" s="230" t="s">
        <v>252</v>
      </c>
    </row>
    <row r="209" spans="1:21" x14ac:dyDescent="0.25">
      <c r="A209" s="243">
        <v>8409184000</v>
      </c>
      <c r="B209" s="240" t="str">
        <f>VLOOKUP(A209,'Energy Provider Accounts'!C:F,2,FALSE)</f>
        <v>Sewer District Cliff View/Mare's Lane</v>
      </c>
      <c r="C209" s="243" t="s">
        <v>230</v>
      </c>
      <c r="D209" s="332">
        <v>43374</v>
      </c>
      <c r="E209" s="332">
        <v>43342</v>
      </c>
      <c r="F209" s="333">
        <v>33</v>
      </c>
      <c r="G209" s="333" t="s">
        <v>256</v>
      </c>
      <c r="H209" s="333" t="s">
        <v>254</v>
      </c>
      <c r="I209" s="333">
        <v>131</v>
      </c>
      <c r="J209" s="333"/>
      <c r="K209" s="333"/>
      <c r="L209" s="333"/>
      <c r="M209" s="333"/>
      <c r="N209" s="333">
        <v>26.2</v>
      </c>
      <c r="O209" s="333">
        <v>2018</v>
      </c>
      <c r="P209" s="336">
        <v>9</v>
      </c>
      <c r="Q209" s="336"/>
      <c r="R209" s="332">
        <v>43342</v>
      </c>
      <c r="S209" s="337" t="s">
        <v>89</v>
      </c>
      <c r="T209" s="338" t="s">
        <v>252</v>
      </c>
      <c r="U209" t="s">
        <v>272</v>
      </c>
    </row>
    <row r="210" spans="1:21" x14ac:dyDescent="0.25">
      <c r="A210" s="243">
        <v>8409184000</v>
      </c>
      <c r="B210" s="240" t="str">
        <f>VLOOKUP(A210,'Energy Provider Accounts'!C:F,2,FALSE)</f>
        <v>Sewer District Cliff View/Mare's Lane</v>
      </c>
      <c r="C210" s="243" t="s">
        <v>230</v>
      </c>
      <c r="D210" s="244">
        <v>43403</v>
      </c>
      <c r="E210" s="244">
        <v>43374</v>
      </c>
      <c r="F210" s="243">
        <v>32</v>
      </c>
      <c r="G210" s="243" t="s">
        <v>256</v>
      </c>
      <c r="H210" s="243" t="s">
        <v>254</v>
      </c>
      <c r="I210" s="243">
        <v>161</v>
      </c>
      <c r="J210" s="243"/>
      <c r="K210" s="243"/>
      <c r="L210" s="243">
        <v>17.78</v>
      </c>
      <c r="M210" s="249">
        <v>38.799999999999997</v>
      </c>
      <c r="N210" s="243">
        <v>56.58</v>
      </c>
      <c r="O210" s="318">
        <v>2018</v>
      </c>
      <c r="P210" s="310">
        <v>10</v>
      </c>
      <c r="Q210" s="310"/>
      <c r="R210" s="244">
        <v>43374</v>
      </c>
      <c r="S210" s="261" t="s">
        <v>90</v>
      </c>
      <c r="T210" s="230" t="s">
        <v>252</v>
      </c>
    </row>
    <row r="211" spans="1:21" x14ac:dyDescent="0.25">
      <c r="A211" s="243">
        <v>8409184000</v>
      </c>
      <c r="B211" s="240" t="str">
        <f>VLOOKUP(A211,'Energy Provider Accounts'!C:F,2,FALSE)</f>
        <v>Sewer District Cliff View/Mare's Lane</v>
      </c>
      <c r="C211" s="243" t="s">
        <v>230</v>
      </c>
      <c r="D211" s="332">
        <v>43434</v>
      </c>
      <c r="E211" s="332">
        <v>43403</v>
      </c>
      <c r="F211" s="333">
        <v>32</v>
      </c>
      <c r="G211" s="333" t="s">
        <v>256</v>
      </c>
      <c r="H211" s="333" t="s">
        <v>254</v>
      </c>
      <c r="I211" s="333">
        <v>164</v>
      </c>
      <c r="J211" s="333"/>
      <c r="K211" s="333"/>
      <c r="L211" s="333"/>
      <c r="M211" s="333"/>
      <c r="N211" s="334">
        <v>32.799999999999997</v>
      </c>
      <c r="O211" s="333">
        <v>2018</v>
      </c>
      <c r="P211" s="336">
        <v>11</v>
      </c>
      <c r="Q211" s="336"/>
      <c r="R211" s="332">
        <v>43403</v>
      </c>
      <c r="S211" s="337" t="s">
        <v>91</v>
      </c>
      <c r="T211" s="338" t="s">
        <v>252</v>
      </c>
      <c r="U211" s="114" t="s">
        <v>272</v>
      </c>
    </row>
    <row r="212" spans="1:21" x14ac:dyDescent="0.25">
      <c r="A212" s="243">
        <v>8409184000</v>
      </c>
      <c r="B212" s="240" t="str">
        <f>VLOOKUP(A212,'Energy Provider Accounts'!C:F,2,FALSE)</f>
        <v>Sewer District Cliff View/Mare's Lane</v>
      </c>
      <c r="C212" s="243" t="s">
        <v>230</v>
      </c>
      <c r="D212" s="332">
        <v>43468</v>
      </c>
      <c r="E212" s="332">
        <v>43434</v>
      </c>
      <c r="F212" s="333">
        <v>33</v>
      </c>
      <c r="G212" s="333" t="s">
        <v>256</v>
      </c>
      <c r="H212" s="333" t="s">
        <v>254</v>
      </c>
      <c r="I212" s="333">
        <v>259</v>
      </c>
      <c r="J212" s="333"/>
      <c r="K212" s="333"/>
      <c r="L212" s="333"/>
      <c r="M212" s="333"/>
      <c r="N212" s="334">
        <v>51.8</v>
      </c>
      <c r="O212" s="333"/>
      <c r="P212" s="336">
        <v>12</v>
      </c>
      <c r="Q212" s="336"/>
      <c r="R212" s="332"/>
      <c r="S212" s="339"/>
      <c r="T212" s="338"/>
      <c r="U212" s="114" t="s">
        <v>272</v>
      </c>
    </row>
    <row r="213" spans="1:21" x14ac:dyDescent="0.25">
      <c r="A213" s="243">
        <v>8409184000</v>
      </c>
      <c r="B213" s="240" t="str">
        <f>VLOOKUP(A213,'Energy Provider Accounts'!C:F,2,FALSE)</f>
        <v>Sewer District Cliff View/Mare's Lane</v>
      </c>
      <c r="C213" s="243" t="s">
        <v>230</v>
      </c>
      <c r="D213" s="244"/>
      <c r="E213" s="244"/>
      <c r="F213" s="243"/>
      <c r="G213" s="243"/>
      <c r="H213" s="243"/>
      <c r="I213" s="243"/>
      <c r="J213" s="243"/>
      <c r="K213" s="243"/>
      <c r="L213" s="243"/>
      <c r="M213" s="243"/>
      <c r="N213" s="243"/>
      <c r="P213" s="310"/>
      <c r="Q213" s="310"/>
      <c r="R213" s="244"/>
      <c r="S213" s="240"/>
    </row>
    <row r="214" spans="1:21" x14ac:dyDescent="0.25">
      <c r="A214" s="243">
        <v>8409184000</v>
      </c>
      <c r="B214" s="240" t="str">
        <f>VLOOKUP(A214,'Energy Provider Accounts'!C:F,2,FALSE)</f>
        <v>Sewer District Cliff View/Mare's Lane</v>
      </c>
      <c r="C214" s="243" t="s">
        <v>230</v>
      </c>
      <c r="D214" s="244"/>
      <c r="E214" s="244"/>
      <c r="F214" s="243"/>
      <c r="G214" s="243"/>
      <c r="H214" s="243"/>
      <c r="I214" s="243"/>
      <c r="J214" s="243"/>
      <c r="K214" s="243"/>
      <c r="L214" s="243"/>
      <c r="M214" s="243"/>
      <c r="N214" s="243"/>
      <c r="P214" s="310"/>
      <c r="Q214" s="310"/>
      <c r="R214" s="244"/>
      <c r="S214" s="240"/>
    </row>
    <row r="215" spans="1:21" x14ac:dyDescent="0.25">
      <c r="A215" s="243">
        <v>8409184000</v>
      </c>
      <c r="B215" s="240" t="str">
        <f>VLOOKUP(A215,'Energy Provider Accounts'!C:F,2,FALSE)</f>
        <v>Sewer District Cliff View/Mare's Lane</v>
      </c>
      <c r="C215" s="243" t="s">
        <v>230</v>
      </c>
      <c r="D215" s="244"/>
      <c r="E215" s="244"/>
      <c r="F215" s="243"/>
      <c r="G215" s="243"/>
      <c r="H215" s="243"/>
      <c r="I215" s="243"/>
      <c r="J215" s="243"/>
      <c r="K215" s="243"/>
      <c r="L215" s="243"/>
      <c r="M215" s="243"/>
      <c r="N215" s="243"/>
      <c r="P215" s="310"/>
      <c r="Q215" s="310"/>
      <c r="R215" s="244"/>
      <c r="S215" s="240"/>
    </row>
    <row r="216" spans="1:21" x14ac:dyDescent="0.25">
      <c r="A216" s="243">
        <v>8409184000</v>
      </c>
      <c r="B216" s="240" t="str">
        <f>VLOOKUP(A216,'Energy Provider Accounts'!C:F,2,FALSE)</f>
        <v>Sewer District Cliff View/Mare's Lane</v>
      </c>
      <c r="C216" s="243" t="s">
        <v>230</v>
      </c>
      <c r="D216" s="244"/>
      <c r="E216" s="244"/>
      <c r="F216" s="243"/>
      <c r="G216" s="243"/>
      <c r="H216" s="243"/>
      <c r="I216" s="243"/>
      <c r="J216" s="243"/>
      <c r="K216" s="243"/>
      <c r="L216" s="243"/>
      <c r="M216" s="243"/>
      <c r="N216" s="243"/>
      <c r="P216" s="310"/>
      <c r="Q216" s="310"/>
      <c r="R216" s="244"/>
      <c r="S216" s="240"/>
    </row>
    <row r="217" spans="1:21" x14ac:dyDescent="0.25">
      <c r="A217" s="243">
        <v>8409184000</v>
      </c>
      <c r="B217" s="240" t="str">
        <f>VLOOKUP(A217,'Energy Provider Accounts'!C:F,2,FALSE)</f>
        <v>Sewer District Cliff View/Mare's Lane</v>
      </c>
      <c r="C217" s="243" t="s">
        <v>230</v>
      </c>
      <c r="D217" s="244"/>
      <c r="E217" s="244"/>
      <c r="F217" s="243"/>
      <c r="G217" s="243"/>
      <c r="H217" s="243"/>
      <c r="I217" s="243"/>
      <c r="J217" s="243"/>
      <c r="K217" s="243"/>
      <c r="L217" s="243"/>
      <c r="M217" s="243"/>
      <c r="N217" s="243"/>
      <c r="P217" s="310"/>
      <c r="Q217" s="310"/>
      <c r="R217" s="244"/>
      <c r="S217" s="240"/>
    </row>
    <row r="218" spans="1:21" x14ac:dyDescent="0.25">
      <c r="A218" s="243">
        <v>8409184000</v>
      </c>
      <c r="B218" s="240" t="str">
        <f>VLOOKUP(A218,'Energy Provider Accounts'!C:F,2,FALSE)</f>
        <v>Sewer District Cliff View/Mare's Lane</v>
      </c>
      <c r="C218" s="243" t="s">
        <v>230</v>
      </c>
      <c r="D218" s="244"/>
      <c r="E218" s="244"/>
      <c r="F218" s="243"/>
      <c r="G218" s="243"/>
      <c r="H218" s="243"/>
      <c r="I218" s="243"/>
      <c r="J218" s="243"/>
      <c r="K218" s="243"/>
      <c r="L218" s="243"/>
      <c r="M218" s="243"/>
      <c r="N218" s="243"/>
      <c r="P218" s="310"/>
      <c r="Q218" s="310"/>
      <c r="R218" s="244"/>
      <c r="S218" s="240"/>
    </row>
    <row r="219" spans="1:21" x14ac:dyDescent="0.25">
      <c r="A219" s="243">
        <v>8409184000</v>
      </c>
      <c r="B219" s="240" t="str">
        <f>VLOOKUP(A219,'Energy Provider Accounts'!C:F,2,FALSE)</f>
        <v>Sewer District Cliff View/Mare's Lane</v>
      </c>
      <c r="C219" s="243" t="s">
        <v>230</v>
      </c>
      <c r="D219" s="244"/>
      <c r="E219" s="244"/>
      <c r="F219" s="243"/>
      <c r="G219" s="243"/>
      <c r="H219" s="243"/>
      <c r="I219" s="243"/>
      <c r="J219" s="243"/>
      <c r="K219" s="243"/>
      <c r="L219" s="243"/>
      <c r="M219" s="243"/>
      <c r="N219" s="243"/>
      <c r="P219" s="310"/>
      <c r="Q219" s="310"/>
      <c r="R219" s="244"/>
      <c r="S219" s="240"/>
    </row>
    <row r="220" spans="1:21" x14ac:dyDescent="0.25">
      <c r="A220" s="243">
        <v>8409184000</v>
      </c>
      <c r="B220" s="240" t="str">
        <f>VLOOKUP(A220,'Energy Provider Accounts'!C:F,2,FALSE)</f>
        <v>Sewer District Cliff View/Mare's Lane</v>
      </c>
      <c r="C220" s="243" t="s">
        <v>230</v>
      </c>
      <c r="D220" s="244"/>
      <c r="E220" s="244"/>
      <c r="F220" s="243"/>
      <c r="G220" s="243"/>
      <c r="H220" s="243"/>
      <c r="I220" s="243"/>
      <c r="J220" s="243"/>
      <c r="K220" s="243"/>
      <c r="L220" s="243"/>
      <c r="M220" s="243"/>
      <c r="N220" s="243"/>
      <c r="P220" s="310"/>
      <c r="Q220" s="310"/>
      <c r="R220" s="244"/>
      <c r="S220" s="240"/>
    </row>
    <row r="221" spans="1:21" x14ac:dyDescent="0.25">
      <c r="A221" s="243">
        <v>8409184000</v>
      </c>
      <c r="B221" s="240" t="str">
        <f>VLOOKUP(A221,'Energy Provider Accounts'!C:F,2,FALSE)</f>
        <v>Sewer District Cliff View/Mare's Lane</v>
      </c>
      <c r="C221" s="243" t="s">
        <v>230</v>
      </c>
      <c r="D221" s="244"/>
      <c r="E221" s="244"/>
      <c r="F221" s="243"/>
      <c r="G221" s="243"/>
      <c r="H221" s="243"/>
      <c r="I221" s="243"/>
      <c r="J221" s="243"/>
      <c r="K221" s="243"/>
      <c r="L221" s="243"/>
      <c r="M221" s="243"/>
      <c r="N221" s="243"/>
      <c r="P221" s="310"/>
      <c r="Q221" s="310"/>
      <c r="R221" s="244"/>
      <c r="S221" s="240"/>
    </row>
    <row r="222" spans="1:21" x14ac:dyDescent="0.25">
      <c r="A222" s="243">
        <v>8409184000</v>
      </c>
      <c r="B222" s="240" t="str">
        <f>VLOOKUP(A222,'Energy Provider Accounts'!C:F,2,FALSE)</f>
        <v>Sewer District Cliff View/Mare's Lane</v>
      </c>
      <c r="C222" s="243" t="s">
        <v>230</v>
      </c>
      <c r="D222" s="244"/>
      <c r="E222" s="244"/>
      <c r="F222" s="243"/>
      <c r="G222" s="243"/>
      <c r="H222" s="243"/>
      <c r="I222" s="243"/>
      <c r="J222" s="243"/>
      <c r="K222" s="243"/>
      <c r="L222" s="243"/>
      <c r="M222" s="243"/>
      <c r="N222" s="243"/>
      <c r="P222" s="310"/>
      <c r="Q222" s="310"/>
      <c r="R222" s="244"/>
      <c r="S222" s="240"/>
    </row>
    <row r="223" spans="1:21" x14ac:dyDescent="0.25">
      <c r="A223" s="243">
        <v>8409184000</v>
      </c>
      <c r="B223" s="240" t="str">
        <f>VLOOKUP(A223,'Energy Provider Accounts'!C:F,2,FALSE)</f>
        <v>Sewer District Cliff View/Mare's Lane</v>
      </c>
      <c r="C223" s="243" t="s">
        <v>230</v>
      </c>
      <c r="D223" s="244"/>
      <c r="E223" s="244"/>
      <c r="F223" s="243"/>
      <c r="G223" s="243"/>
      <c r="H223" s="243"/>
      <c r="I223" s="243"/>
      <c r="J223" s="243"/>
      <c r="K223" s="243"/>
      <c r="L223" s="243"/>
      <c r="M223" s="243"/>
      <c r="N223" s="243"/>
      <c r="P223" s="310"/>
      <c r="Q223" s="310"/>
      <c r="R223" s="244"/>
      <c r="S223" s="240"/>
    </row>
    <row r="224" spans="1:21" x14ac:dyDescent="0.25">
      <c r="A224" s="243">
        <v>8409184000</v>
      </c>
      <c r="B224" s="240" t="str">
        <f>VLOOKUP(A224,'Energy Provider Accounts'!C:F,2,FALSE)</f>
        <v>Sewer District Cliff View/Mare's Lane</v>
      </c>
      <c r="C224" s="243" t="s">
        <v>230</v>
      </c>
      <c r="D224" s="244"/>
      <c r="E224" s="244"/>
      <c r="F224" s="243"/>
      <c r="G224" s="243"/>
      <c r="H224" s="243"/>
      <c r="I224" s="243"/>
      <c r="J224" s="243"/>
      <c r="K224" s="243"/>
      <c r="L224" s="243"/>
      <c r="M224" s="243"/>
      <c r="N224" s="243"/>
      <c r="P224" s="310"/>
      <c r="Q224" s="310"/>
      <c r="R224" s="244"/>
      <c r="S224" s="240"/>
    </row>
    <row r="225" spans="1:20" x14ac:dyDescent="0.25">
      <c r="A225" s="243">
        <v>8409184000</v>
      </c>
      <c r="B225" s="240" t="str">
        <f>VLOOKUP(A225,'Energy Provider Accounts'!C:F,2,FALSE)</f>
        <v>Sewer District Cliff View/Mare's Lane</v>
      </c>
      <c r="C225" s="243" t="s">
        <v>230</v>
      </c>
      <c r="D225" s="244"/>
      <c r="E225" s="244"/>
      <c r="F225" s="243"/>
      <c r="G225" s="243"/>
      <c r="H225" s="243"/>
      <c r="I225" s="243"/>
      <c r="J225" s="243"/>
      <c r="K225" s="243"/>
      <c r="L225" s="243"/>
      <c r="M225" s="243"/>
      <c r="N225" s="243"/>
      <c r="P225" s="310"/>
      <c r="Q225" s="310"/>
      <c r="R225" s="244"/>
      <c r="S225" s="240"/>
    </row>
    <row r="226" spans="1:20" x14ac:dyDescent="0.25">
      <c r="A226" s="243">
        <v>8409184000</v>
      </c>
      <c r="B226" s="240" t="str">
        <f>VLOOKUP(A226,'Energy Provider Accounts'!C:F,2,FALSE)</f>
        <v>Sewer District Cliff View/Mare's Lane</v>
      </c>
      <c r="C226" s="243" t="s">
        <v>230</v>
      </c>
      <c r="D226" s="244"/>
      <c r="E226" s="244"/>
      <c r="F226" s="243"/>
      <c r="G226" s="243"/>
      <c r="H226" s="243"/>
      <c r="I226" s="243"/>
      <c r="J226" s="243"/>
      <c r="K226" s="243"/>
      <c r="L226" s="243"/>
      <c r="M226" s="243"/>
      <c r="N226" s="243"/>
      <c r="P226" s="310"/>
      <c r="Q226" s="310"/>
      <c r="R226" s="244"/>
      <c r="S226" s="240"/>
    </row>
    <row r="227" spans="1:20" x14ac:dyDescent="0.25">
      <c r="A227" s="243">
        <v>8409184000</v>
      </c>
      <c r="B227" s="240" t="str">
        <f>VLOOKUP(A227,'Energy Provider Accounts'!C:F,2,FALSE)</f>
        <v>Sewer District Cliff View/Mare's Lane</v>
      </c>
      <c r="C227" s="243" t="s">
        <v>230</v>
      </c>
      <c r="D227" s="244"/>
      <c r="E227" s="244"/>
      <c r="F227" s="243"/>
      <c r="G227" s="243"/>
      <c r="H227" s="243"/>
      <c r="I227" s="243"/>
      <c r="J227" s="243"/>
      <c r="K227" s="243"/>
      <c r="L227" s="243"/>
      <c r="M227" s="243"/>
      <c r="N227" s="243"/>
      <c r="P227" s="310"/>
      <c r="Q227" s="310"/>
      <c r="R227" s="244"/>
      <c r="S227" s="240"/>
    </row>
    <row r="228" spans="1:20" x14ac:dyDescent="0.25">
      <c r="A228" s="243">
        <v>8409184000</v>
      </c>
      <c r="B228" s="240" t="str">
        <f>VLOOKUP(A228,'Energy Provider Accounts'!C:F,2,FALSE)</f>
        <v>Sewer District Cliff View/Mare's Lane</v>
      </c>
      <c r="C228" s="243" t="s">
        <v>230</v>
      </c>
      <c r="D228" s="244"/>
      <c r="E228" s="244"/>
      <c r="F228" s="243"/>
      <c r="G228" s="243"/>
      <c r="H228" s="243"/>
      <c r="I228" s="243"/>
      <c r="J228" s="243"/>
      <c r="K228" s="243"/>
      <c r="L228" s="243"/>
      <c r="M228" s="243"/>
      <c r="N228" s="243"/>
      <c r="P228" s="310"/>
      <c r="Q228" s="310"/>
      <c r="R228" s="244"/>
      <c r="S228" s="240"/>
    </row>
    <row r="229" spans="1:20" x14ac:dyDescent="0.25">
      <c r="A229" s="243">
        <v>8409184000</v>
      </c>
      <c r="B229" s="240" t="str">
        <f>VLOOKUP(A229,'Energy Provider Accounts'!C:F,2,FALSE)</f>
        <v>Sewer District Cliff View/Mare's Lane</v>
      </c>
      <c r="C229" s="243" t="s">
        <v>230</v>
      </c>
      <c r="D229" s="244"/>
      <c r="E229" s="244"/>
      <c r="F229" s="243"/>
      <c r="G229" s="243"/>
      <c r="H229" s="243"/>
      <c r="I229" s="243"/>
      <c r="J229" s="243"/>
      <c r="K229" s="243"/>
      <c r="L229" s="243"/>
      <c r="M229" s="243"/>
      <c r="N229" s="243"/>
      <c r="P229" s="310"/>
      <c r="Q229" s="310"/>
      <c r="R229" s="244"/>
      <c r="S229" s="240"/>
    </row>
    <row r="230" spans="1:20" x14ac:dyDescent="0.25">
      <c r="A230" s="243">
        <v>8409184000</v>
      </c>
      <c r="B230" s="240" t="str">
        <f>VLOOKUP(A230,'Energy Provider Accounts'!C:F,2,FALSE)</f>
        <v>Sewer District Cliff View/Mare's Lane</v>
      </c>
      <c r="C230" s="243" t="s">
        <v>230</v>
      </c>
      <c r="D230" s="244"/>
      <c r="E230" s="244"/>
      <c r="F230" s="243"/>
      <c r="G230" s="243"/>
      <c r="H230" s="243"/>
      <c r="I230" s="243"/>
      <c r="J230" s="243"/>
      <c r="K230" s="243"/>
      <c r="L230" s="243"/>
      <c r="M230" s="243"/>
      <c r="N230" s="243"/>
      <c r="P230" s="310"/>
      <c r="Q230" s="310"/>
      <c r="R230" s="244"/>
      <c r="S230" s="240"/>
    </row>
    <row r="231" spans="1:20" x14ac:dyDescent="0.25">
      <c r="A231" s="243">
        <v>8409184000</v>
      </c>
      <c r="B231" s="240" t="str">
        <f>VLOOKUP(A231,'Energy Provider Accounts'!C:F,2,FALSE)</f>
        <v>Sewer District Cliff View/Mare's Lane</v>
      </c>
      <c r="C231" s="243" t="s">
        <v>230</v>
      </c>
      <c r="D231" s="244"/>
      <c r="E231" s="244"/>
      <c r="F231" s="243"/>
      <c r="G231" s="243"/>
      <c r="H231" s="243"/>
      <c r="I231" s="243"/>
      <c r="J231" s="243"/>
      <c r="K231" s="243"/>
      <c r="L231" s="243"/>
      <c r="M231" s="243"/>
      <c r="N231" s="243"/>
      <c r="P231" s="310"/>
      <c r="Q231" s="310"/>
      <c r="R231" s="244"/>
      <c r="S231" s="240"/>
    </row>
    <row r="232" spans="1:20" x14ac:dyDescent="0.25">
      <c r="A232" s="243">
        <v>8409184000</v>
      </c>
      <c r="B232" s="240" t="str">
        <f>VLOOKUP(A232,'Energy Provider Accounts'!C:F,2,FALSE)</f>
        <v>Sewer District Cliff View/Mare's Lane</v>
      </c>
      <c r="C232" s="243" t="s">
        <v>230</v>
      </c>
      <c r="D232" s="244"/>
      <c r="E232" s="244"/>
      <c r="F232" s="243"/>
      <c r="G232" s="243"/>
      <c r="H232" s="243"/>
      <c r="I232" s="243"/>
      <c r="J232" s="243"/>
      <c r="K232" s="243"/>
      <c r="L232" s="243"/>
      <c r="M232" s="243"/>
      <c r="N232" s="243"/>
      <c r="P232" s="310"/>
      <c r="Q232" s="310"/>
      <c r="R232" s="244"/>
      <c r="S232" s="240"/>
    </row>
    <row r="233" spans="1:20" x14ac:dyDescent="0.25">
      <c r="A233" s="243">
        <v>8409184000</v>
      </c>
      <c r="B233" s="240" t="str">
        <f>VLOOKUP(A233,'Energy Provider Accounts'!C:F,2,FALSE)</f>
        <v>Sewer District Cliff View/Mare's Lane</v>
      </c>
      <c r="C233" s="243" t="s">
        <v>230</v>
      </c>
      <c r="D233" s="244"/>
      <c r="E233" s="244"/>
      <c r="F233" s="243"/>
      <c r="G233" s="243"/>
      <c r="H233" s="243"/>
      <c r="I233" s="243"/>
      <c r="J233" s="243"/>
      <c r="K233" s="243"/>
      <c r="L233" s="243"/>
      <c r="M233" s="243"/>
      <c r="N233" s="243"/>
      <c r="P233" s="310"/>
      <c r="Q233" s="310"/>
      <c r="R233" s="244"/>
      <c r="S233" s="240"/>
    </row>
    <row r="234" spans="1:20" x14ac:dyDescent="0.25">
      <c r="A234" s="243">
        <v>8409184000</v>
      </c>
      <c r="B234" s="240" t="str">
        <f>VLOOKUP(A234,'Energy Provider Accounts'!C:F,2,FALSE)</f>
        <v>Sewer District Cliff View/Mare's Lane</v>
      </c>
      <c r="C234" s="243" t="s">
        <v>230</v>
      </c>
      <c r="D234" s="244"/>
      <c r="E234" s="244"/>
      <c r="F234" s="243"/>
      <c r="G234" s="243"/>
      <c r="H234" s="243"/>
      <c r="I234" s="243"/>
      <c r="J234" s="243"/>
      <c r="K234" s="243"/>
      <c r="L234" s="243"/>
      <c r="M234" s="243"/>
      <c r="N234" s="243"/>
      <c r="P234" s="310"/>
      <c r="Q234" s="310"/>
      <c r="R234" s="244"/>
      <c r="S234" s="240"/>
    </row>
    <row r="235" spans="1:20" x14ac:dyDescent="0.25">
      <c r="A235" s="243">
        <v>8409184000</v>
      </c>
      <c r="B235" s="240" t="str">
        <f>VLOOKUP(A235,'Energy Provider Accounts'!C:F,2,FALSE)</f>
        <v>Sewer District Cliff View/Mare's Lane</v>
      </c>
      <c r="C235" s="243" t="s">
        <v>230</v>
      </c>
      <c r="D235" s="244"/>
      <c r="E235" s="244"/>
      <c r="F235" s="243"/>
      <c r="G235" s="243"/>
      <c r="H235" s="243"/>
      <c r="I235" s="243"/>
      <c r="J235" s="243"/>
      <c r="K235" s="243"/>
      <c r="L235" s="243"/>
      <c r="M235" s="243"/>
      <c r="N235" s="243"/>
      <c r="P235" s="310"/>
      <c r="Q235" s="310"/>
      <c r="R235" s="244"/>
      <c r="S235" s="240"/>
    </row>
    <row r="236" spans="1:20" x14ac:dyDescent="0.25">
      <c r="A236" s="243">
        <v>8409184000</v>
      </c>
      <c r="B236" s="240" t="str">
        <f>VLOOKUP(A236,'Energy Provider Accounts'!C:F,2,FALSE)</f>
        <v>Sewer District Cliff View/Mare's Lane</v>
      </c>
      <c r="C236" s="243" t="s">
        <v>230</v>
      </c>
      <c r="D236" s="244">
        <v>43468</v>
      </c>
      <c r="E236" s="244">
        <v>43434</v>
      </c>
      <c r="F236" s="243">
        <v>35</v>
      </c>
      <c r="G236" s="243" t="s">
        <v>256</v>
      </c>
      <c r="H236" s="243" t="s">
        <v>254</v>
      </c>
      <c r="I236" s="243">
        <v>259</v>
      </c>
      <c r="J236" s="243"/>
      <c r="K236" s="243"/>
      <c r="L236" s="243">
        <v>16.32</v>
      </c>
      <c r="M236" s="243">
        <v>41.17</v>
      </c>
      <c r="N236" s="243">
        <v>57.49</v>
      </c>
      <c r="P236" s="310">
        <v>12</v>
      </c>
      <c r="Q236" s="310"/>
      <c r="R236" s="244">
        <v>43434</v>
      </c>
      <c r="S236" s="240" t="s">
        <v>92</v>
      </c>
      <c r="T236" s="230" t="s">
        <v>252</v>
      </c>
    </row>
    <row r="237" spans="1:20" x14ac:dyDescent="0.25">
      <c r="A237" s="243">
        <v>8408055000</v>
      </c>
      <c r="B237" s="240" t="str">
        <f>VLOOKUP(A237,'Energy Provider Accounts'!C:F,2,FALSE)</f>
        <v>Sewer District Dusinberre Road</v>
      </c>
      <c r="C237" s="243" t="s">
        <v>230</v>
      </c>
      <c r="D237" s="241">
        <v>42032</v>
      </c>
      <c r="E237" s="244">
        <v>41974</v>
      </c>
      <c r="F237" s="242">
        <v>58</v>
      </c>
      <c r="G237" s="243" t="s">
        <v>251</v>
      </c>
      <c r="H237" s="243" t="s">
        <v>254</v>
      </c>
      <c r="I237" s="243">
        <v>209</v>
      </c>
      <c r="J237" s="250"/>
      <c r="K237" s="250"/>
      <c r="L237" s="243">
        <v>25.24</v>
      </c>
      <c r="M237" s="243">
        <v>73.02</v>
      </c>
      <c r="N237" s="243">
        <v>98.26</v>
      </c>
      <c r="O237">
        <v>2015</v>
      </c>
      <c r="P237" s="310">
        <f t="shared" si="6"/>
        <v>1</v>
      </c>
      <c r="Q237" s="310"/>
      <c r="R237" s="244">
        <v>41974</v>
      </c>
      <c r="S237" s="240" t="str">
        <f t="shared" si="7"/>
        <v>Jan</v>
      </c>
      <c r="T237" s="230" t="s">
        <v>255</v>
      </c>
    </row>
    <row r="238" spans="1:20" x14ac:dyDescent="0.25">
      <c r="A238" s="243">
        <v>8408055000</v>
      </c>
      <c r="B238" s="240" t="str">
        <f>VLOOKUP(A238,'Energy Provider Accounts'!C:F,2,FALSE)</f>
        <v>Sewer District Dusinberre Road</v>
      </c>
      <c r="C238" s="243" t="s">
        <v>230</v>
      </c>
      <c r="D238" s="244">
        <v>42095</v>
      </c>
      <c r="E238" s="248">
        <v>42032</v>
      </c>
      <c r="F238" s="242">
        <v>61</v>
      </c>
      <c r="G238" s="243" t="s">
        <v>251</v>
      </c>
      <c r="H238" s="243" t="s">
        <v>254</v>
      </c>
      <c r="I238" s="243">
        <v>210</v>
      </c>
      <c r="J238" s="250"/>
      <c r="K238" s="250"/>
      <c r="L238" s="243">
        <v>13.14</v>
      </c>
      <c r="M238" s="243">
        <v>73.03</v>
      </c>
      <c r="N238" s="243">
        <v>106.17</v>
      </c>
      <c r="O238">
        <v>2015</v>
      </c>
      <c r="P238" s="310">
        <f t="shared" si="6"/>
        <v>4</v>
      </c>
      <c r="Q238" s="310"/>
      <c r="R238" s="248">
        <v>42032</v>
      </c>
      <c r="S238" s="240" t="str">
        <f t="shared" si="7"/>
        <v>Apr</v>
      </c>
      <c r="T238" s="230" t="s">
        <v>255</v>
      </c>
    </row>
    <row r="239" spans="1:20" x14ac:dyDescent="0.25">
      <c r="A239" s="243">
        <v>8408055000</v>
      </c>
      <c r="B239" s="240" t="str">
        <f>VLOOKUP(A239,'Energy Provider Accounts'!C:F,2,FALSE)</f>
        <v>Sewer District Dusinberre Road</v>
      </c>
      <c r="C239" s="243" t="s">
        <v>230</v>
      </c>
      <c r="D239" s="244">
        <v>42156</v>
      </c>
      <c r="E239" s="248">
        <v>42095</v>
      </c>
      <c r="F239" s="243">
        <v>62</v>
      </c>
      <c r="G239" s="243" t="s">
        <v>251</v>
      </c>
      <c r="H239" s="243" t="s">
        <v>254</v>
      </c>
      <c r="I239" s="243">
        <v>181</v>
      </c>
      <c r="J239" s="250"/>
      <c r="K239" s="250"/>
      <c r="L239" s="243">
        <v>17.829999999999998</v>
      </c>
      <c r="M239" s="243">
        <v>73.56</v>
      </c>
      <c r="N239" s="243">
        <v>91.39</v>
      </c>
      <c r="O239">
        <v>2015</v>
      </c>
      <c r="P239" s="310">
        <f t="shared" si="6"/>
        <v>6</v>
      </c>
      <c r="Q239" s="310"/>
      <c r="R239" s="248">
        <v>42095</v>
      </c>
      <c r="S239" s="240" t="str">
        <f t="shared" si="7"/>
        <v>Jun</v>
      </c>
      <c r="T239" s="230" t="s">
        <v>255</v>
      </c>
    </row>
    <row r="240" spans="1:20" x14ac:dyDescent="0.25">
      <c r="A240" s="242">
        <v>8408055000</v>
      </c>
      <c r="B240" s="240" t="str">
        <f>VLOOKUP(A240,'Energy Provider Accounts'!C:F,2,FALSE)</f>
        <v>Sewer District Dusinberre Road</v>
      </c>
      <c r="C240" s="242" t="s">
        <v>230</v>
      </c>
      <c r="D240" s="248">
        <v>42212</v>
      </c>
      <c r="E240" s="248">
        <v>42156</v>
      </c>
      <c r="F240" s="242">
        <v>57</v>
      </c>
      <c r="G240" s="242" t="s">
        <v>251</v>
      </c>
      <c r="H240" s="243" t="s">
        <v>254</v>
      </c>
      <c r="I240" s="242">
        <v>394</v>
      </c>
      <c r="J240" s="250"/>
      <c r="K240" s="250"/>
      <c r="L240" s="242">
        <v>31.65</v>
      </c>
      <c r="M240" s="242">
        <v>76.760000000000005</v>
      </c>
      <c r="N240" s="242">
        <v>108.41</v>
      </c>
      <c r="O240">
        <v>2015</v>
      </c>
      <c r="P240" s="310">
        <f t="shared" si="6"/>
        <v>7</v>
      </c>
      <c r="Q240" s="310"/>
      <c r="R240" s="248">
        <v>42156</v>
      </c>
      <c r="S240" s="240" t="str">
        <f t="shared" si="7"/>
        <v>Jul</v>
      </c>
      <c r="T240" s="230" t="s">
        <v>255</v>
      </c>
    </row>
    <row r="241" spans="1:20" x14ac:dyDescent="0.25">
      <c r="A241" s="243">
        <v>8408055000</v>
      </c>
      <c r="B241" s="240" t="str">
        <f>VLOOKUP(A241,'Energy Provider Accounts'!C:F,2,FALSE)</f>
        <v>Sewer District Dusinberre Road</v>
      </c>
      <c r="C241" s="243" t="s">
        <v>230</v>
      </c>
      <c r="D241" s="244">
        <v>42278</v>
      </c>
      <c r="E241" s="248">
        <v>42212</v>
      </c>
      <c r="F241" s="242">
        <v>65</v>
      </c>
      <c r="G241" s="243" t="s">
        <v>251</v>
      </c>
      <c r="H241" s="243" t="s">
        <v>254</v>
      </c>
      <c r="I241" s="243">
        <v>247</v>
      </c>
      <c r="J241" s="250"/>
      <c r="K241" s="250"/>
      <c r="L241" s="243">
        <v>27.39</v>
      </c>
      <c r="M241" s="243">
        <v>74.38</v>
      </c>
      <c r="N241" s="243">
        <v>101.77</v>
      </c>
      <c r="O241">
        <v>2015</v>
      </c>
      <c r="P241" s="310">
        <f t="shared" si="6"/>
        <v>10</v>
      </c>
      <c r="Q241" s="310"/>
      <c r="R241" s="248">
        <v>42212</v>
      </c>
      <c r="S241" s="240" t="str">
        <f t="shared" si="7"/>
        <v>Oct</v>
      </c>
      <c r="T241" s="230" t="s">
        <v>255</v>
      </c>
    </row>
    <row r="242" spans="1:20" x14ac:dyDescent="0.25">
      <c r="A242" s="243">
        <v>8408055000</v>
      </c>
      <c r="B242" s="240" t="str">
        <f>VLOOKUP(A242,'Energy Provider Accounts'!C:F,2,FALSE)</f>
        <v>Sewer District Dusinberre Road</v>
      </c>
      <c r="C242" s="243" t="s">
        <v>230</v>
      </c>
      <c r="D242" s="244">
        <v>42338</v>
      </c>
      <c r="E242" s="248">
        <v>42278</v>
      </c>
      <c r="F242" s="243">
        <v>61</v>
      </c>
      <c r="G242" s="243" t="s">
        <v>251</v>
      </c>
      <c r="H242" s="243" t="s">
        <v>254</v>
      </c>
      <c r="I242" s="243">
        <v>72</v>
      </c>
      <c r="J242" s="250"/>
      <c r="K242" s="250"/>
      <c r="L242" s="243">
        <v>11.01</v>
      </c>
      <c r="M242" s="243">
        <v>71.36</v>
      </c>
      <c r="N242" s="243">
        <v>82.37</v>
      </c>
      <c r="O242">
        <v>2015</v>
      </c>
      <c r="P242" s="310">
        <f t="shared" si="6"/>
        <v>11</v>
      </c>
      <c r="Q242" s="310"/>
      <c r="R242" s="248">
        <v>42278</v>
      </c>
      <c r="S242" s="240" t="str">
        <f t="shared" si="7"/>
        <v>Nov</v>
      </c>
      <c r="T242" s="230" t="s">
        <v>255</v>
      </c>
    </row>
    <row r="243" spans="1:20" x14ac:dyDescent="0.25">
      <c r="A243" s="243">
        <v>8408055000</v>
      </c>
      <c r="B243" s="240" t="str">
        <f>VLOOKUP(A243,'Energy Provider Accounts'!C:F,2,FALSE)</f>
        <v>Sewer District Dusinberre Road</v>
      </c>
      <c r="C243" s="243" t="s">
        <v>230</v>
      </c>
      <c r="D243" s="244">
        <v>42397</v>
      </c>
      <c r="E243" s="248">
        <v>42338</v>
      </c>
      <c r="F243" s="243">
        <v>60</v>
      </c>
      <c r="G243" s="243" t="s">
        <v>253</v>
      </c>
      <c r="H243" s="243" t="s">
        <v>254</v>
      </c>
      <c r="I243" s="243">
        <v>161</v>
      </c>
      <c r="J243" s="243">
        <v>0</v>
      </c>
      <c r="K243" s="243">
        <v>0</v>
      </c>
      <c r="L243" s="243">
        <v>18.13</v>
      </c>
      <c r="M243" s="243">
        <v>63.44</v>
      </c>
      <c r="N243" s="243">
        <v>88.15</v>
      </c>
      <c r="O243">
        <v>2016</v>
      </c>
      <c r="P243" s="310">
        <f t="shared" si="6"/>
        <v>1</v>
      </c>
      <c r="Q243" s="310"/>
      <c r="R243" s="248">
        <v>42338</v>
      </c>
      <c r="S243" s="240" t="str">
        <f t="shared" si="7"/>
        <v>Jan</v>
      </c>
      <c r="T243" s="230" t="s">
        <v>255</v>
      </c>
    </row>
    <row r="244" spans="1:20" x14ac:dyDescent="0.25">
      <c r="A244" s="243">
        <v>8408055000</v>
      </c>
      <c r="B244" s="240" t="str">
        <f>VLOOKUP(A244,'Energy Provider Accounts'!C:F,2,FALSE)</f>
        <v>Sewer District Dusinberre Road</v>
      </c>
      <c r="C244" s="243" t="s">
        <v>230</v>
      </c>
      <c r="D244" s="244">
        <v>42458</v>
      </c>
      <c r="E244" s="244">
        <v>42398</v>
      </c>
      <c r="F244" s="243">
        <v>60</v>
      </c>
      <c r="G244" s="243" t="s">
        <v>253</v>
      </c>
      <c r="H244" s="243" t="s">
        <v>254</v>
      </c>
      <c r="I244" s="243">
        <v>155</v>
      </c>
      <c r="J244" s="243">
        <v>0</v>
      </c>
      <c r="K244" s="243">
        <v>0</v>
      </c>
      <c r="L244" s="243">
        <v>25.28</v>
      </c>
      <c r="M244" s="243">
        <v>60.07</v>
      </c>
      <c r="N244" s="243">
        <v>92.21</v>
      </c>
      <c r="O244">
        <v>2016</v>
      </c>
      <c r="P244" s="310">
        <f t="shared" si="6"/>
        <v>3</v>
      </c>
      <c r="Q244" s="310"/>
      <c r="R244" s="244">
        <v>42398</v>
      </c>
      <c r="S244" s="240" t="str">
        <f t="shared" si="7"/>
        <v>Mar</v>
      </c>
      <c r="T244" s="230" t="s">
        <v>255</v>
      </c>
    </row>
    <row r="245" spans="1:20" x14ac:dyDescent="0.25">
      <c r="A245" s="243">
        <v>8408055000</v>
      </c>
      <c r="B245" s="240" t="str">
        <f>VLOOKUP(A245,'Energy Provider Accounts'!C:F,2,FALSE)</f>
        <v>Sewer District Dusinberre Road</v>
      </c>
      <c r="C245" s="243" t="s">
        <v>230</v>
      </c>
      <c r="D245" s="244">
        <v>42516</v>
      </c>
      <c r="E245" s="244">
        <v>42456</v>
      </c>
      <c r="F245" s="243">
        <v>60</v>
      </c>
      <c r="G245" s="243" t="s">
        <v>253</v>
      </c>
      <c r="H245" s="243" t="s">
        <v>254</v>
      </c>
      <c r="I245" s="243">
        <v>173</v>
      </c>
      <c r="J245" s="243">
        <v>0</v>
      </c>
      <c r="K245" s="243">
        <v>0</v>
      </c>
      <c r="L245" s="243">
        <v>22.97</v>
      </c>
      <c r="M245" s="243">
        <v>61.43</v>
      </c>
      <c r="N245" s="243">
        <v>91.18</v>
      </c>
      <c r="O245">
        <v>2016</v>
      </c>
      <c r="P245" s="310">
        <f t="shared" si="6"/>
        <v>5</v>
      </c>
      <c r="Q245" s="310"/>
      <c r="R245" s="244">
        <v>42456</v>
      </c>
      <c r="S245" s="240" t="str">
        <f t="shared" si="7"/>
        <v>May</v>
      </c>
      <c r="T245" s="230" t="s">
        <v>255</v>
      </c>
    </row>
    <row r="246" spans="1:20" x14ac:dyDescent="0.25">
      <c r="A246" s="243">
        <v>8408055000</v>
      </c>
      <c r="B246" s="240" t="str">
        <f>VLOOKUP(A246,'Energy Provider Accounts'!C:F,2,FALSE)</f>
        <v>Sewer District Dusinberre Road</v>
      </c>
      <c r="C246" s="243" t="s">
        <v>230</v>
      </c>
      <c r="D246" s="244">
        <v>42551</v>
      </c>
      <c r="E246" s="244">
        <v>42521</v>
      </c>
      <c r="F246" s="243">
        <v>30</v>
      </c>
      <c r="G246" s="243" t="s">
        <v>256</v>
      </c>
      <c r="H246" s="243" t="s">
        <v>254</v>
      </c>
      <c r="I246" s="243">
        <v>229</v>
      </c>
      <c r="J246" s="243">
        <v>0</v>
      </c>
      <c r="K246" s="243">
        <v>0</v>
      </c>
      <c r="L246" s="243">
        <v>28.72</v>
      </c>
      <c r="M246" s="243">
        <v>24.36</v>
      </c>
      <c r="N246" s="243">
        <v>57.34</v>
      </c>
      <c r="O246">
        <v>2016</v>
      </c>
      <c r="P246" s="310">
        <f t="shared" si="6"/>
        <v>6</v>
      </c>
      <c r="Q246" s="310"/>
      <c r="R246" s="244">
        <v>42521</v>
      </c>
      <c r="S246" s="240" t="str">
        <f t="shared" si="7"/>
        <v>Jun</v>
      </c>
      <c r="T246" s="230" t="s">
        <v>255</v>
      </c>
    </row>
    <row r="247" spans="1:20" x14ac:dyDescent="0.25">
      <c r="A247" s="243">
        <v>8408055000</v>
      </c>
      <c r="B247" s="240" t="str">
        <f>VLOOKUP(A247,'Energy Provider Accounts'!C:F,2,FALSE)</f>
        <v>Sewer District Dusinberre Road</v>
      </c>
      <c r="C247" s="243" t="s">
        <v>230</v>
      </c>
      <c r="D247" s="244">
        <v>42579</v>
      </c>
      <c r="E247" s="244">
        <v>42519</v>
      </c>
      <c r="F247" s="243">
        <v>60</v>
      </c>
      <c r="G247" s="243" t="s">
        <v>253</v>
      </c>
      <c r="H247" s="243" t="s">
        <v>254</v>
      </c>
      <c r="I247" s="243">
        <v>152</v>
      </c>
      <c r="J247" s="243">
        <v>0</v>
      </c>
      <c r="K247" s="243">
        <v>0</v>
      </c>
      <c r="L247" s="243">
        <v>18.07</v>
      </c>
      <c r="M247" s="243">
        <v>64.08</v>
      </c>
      <c r="N247" s="243">
        <v>88.75</v>
      </c>
      <c r="O247">
        <v>2016</v>
      </c>
      <c r="P247" s="310">
        <f t="shared" si="6"/>
        <v>7</v>
      </c>
      <c r="Q247" s="310"/>
      <c r="R247" s="244">
        <v>42519</v>
      </c>
      <c r="S247" s="240" t="str">
        <f t="shared" si="7"/>
        <v>Jul</v>
      </c>
      <c r="T247" s="230" t="s">
        <v>255</v>
      </c>
    </row>
    <row r="248" spans="1:20" x14ac:dyDescent="0.25">
      <c r="A248" s="243">
        <v>8408055000</v>
      </c>
      <c r="B248" s="240" t="str">
        <f>VLOOKUP(A248,'Energy Provider Accounts'!C:F,2,FALSE)</f>
        <v>Sewer District Dusinberre Road</v>
      </c>
      <c r="C248" s="243" t="s">
        <v>230</v>
      </c>
      <c r="D248" s="244">
        <v>42612</v>
      </c>
      <c r="E248" s="244">
        <v>42582</v>
      </c>
      <c r="F248" s="243">
        <v>30</v>
      </c>
      <c r="G248" s="243" t="s">
        <v>256</v>
      </c>
      <c r="H248" s="243" t="s">
        <v>254</v>
      </c>
      <c r="I248" s="243">
        <v>135</v>
      </c>
      <c r="J248" s="243">
        <v>0</v>
      </c>
      <c r="K248" s="243">
        <v>0</v>
      </c>
      <c r="L248" s="243">
        <v>19.41</v>
      </c>
      <c r="M248" s="243">
        <v>28.86</v>
      </c>
      <c r="N248" s="243">
        <v>52.15</v>
      </c>
      <c r="O248">
        <v>2016</v>
      </c>
      <c r="P248" s="310">
        <f t="shared" si="6"/>
        <v>8</v>
      </c>
      <c r="Q248" s="310"/>
      <c r="R248" s="244">
        <v>42582</v>
      </c>
      <c r="S248" s="240" t="str">
        <f t="shared" si="7"/>
        <v>Aug</v>
      </c>
      <c r="T248" s="230" t="s">
        <v>255</v>
      </c>
    </row>
    <row r="249" spans="1:20" x14ac:dyDescent="0.25">
      <c r="A249" s="243">
        <v>8408055000</v>
      </c>
      <c r="B249" s="240" t="str">
        <f>VLOOKUP(A249,'Energy Provider Accounts'!C:F,2,FALSE)</f>
        <v>Sewer District Dusinberre Road</v>
      </c>
      <c r="C249" s="243" t="s">
        <v>230</v>
      </c>
      <c r="D249" s="244">
        <v>42642</v>
      </c>
      <c r="E249" s="244">
        <v>42612</v>
      </c>
      <c r="F249" s="243">
        <v>30</v>
      </c>
      <c r="G249" s="243" t="s">
        <v>253</v>
      </c>
      <c r="H249" s="243" t="s">
        <v>254</v>
      </c>
      <c r="I249" s="243">
        <v>0</v>
      </c>
      <c r="J249" s="243">
        <v>0</v>
      </c>
      <c r="K249" s="243">
        <v>0</v>
      </c>
      <c r="L249" s="243">
        <v>0</v>
      </c>
      <c r="M249" s="243">
        <v>35</v>
      </c>
      <c r="N249" s="243">
        <v>37.81</v>
      </c>
      <c r="O249">
        <v>2016</v>
      </c>
      <c r="P249" s="310">
        <f t="shared" si="6"/>
        <v>9</v>
      </c>
      <c r="Q249" s="310"/>
      <c r="R249" s="244">
        <v>42612</v>
      </c>
      <c r="S249" s="240" t="str">
        <f t="shared" si="7"/>
        <v>Sep</v>
      </c>
      <c r="T249" s="230" t="s">
        <v>255</v>
      </c>
    </row>
    <row r="250" spans="1:20" x14ac:dyDescent="0.25">
      <c r="A250" s="243">
        <v>8408055000</v>
      </c>
      <c r="B250" s="240" t="str">
        <f>VLOOKUP(A250,'Energy Provider Accounts'!C:F,2,FALSE)</f>
        <v>Sewer District Dusinberre Road</v>
      </c>
      <c r="C250" s="243" t="s">
        <v>230</v>
      </c>
      <c r="D250" s="244">
        <v>42671</v>
      </c>
      <c r="E250" s="244">
        <v>42641</v>
      </c>
      <c r="F250" s="243">
        <v>30</v>
      </c>
      <c r="G250" s="243" t="s">
        <v>256</v>
      </c>
      <c r="H250" s="243" t="s">
        <v>254</v>
      </c>
      <c r="I250" s="243">
        <v>34</v>
      </c>
      <c r="J250" s="243">
        <v>0</v>
      </c>
      <c r="K250" s="243">
        <v>0</v>
      </c>
      <c r="L250" s="243">
        <v>3.82</v>
      </c>
      <c r="M250" s="243">
        <v>34</v>
      </c>
      <c r="N250" s="243">
        <v>40.86</v>
      </c>
      <c r="O250">
        <v>2016</v>
      </c>
      <c r="P250" s="310">
        <f t="shared" si="6"/>
        <v>10</v>
      </c>
      <c r="Q250" s="310"/>
      <c r="R250" s="244">
        <v>42641</v>
      </c>
      <c r="S250" s="240" t="str">
        <f t="shared" si="7"/>
        <v>Oct</v>
      </c>
      <c r="T250" s="230" t="s">
        <v>255</v>
      </c>
    </row>
    <row r="251" spans="1:20" x14ac:dyDescent="0.25">
      <c r="A251" s="243">
        <v>8408055000</v>
      </c>
      <c r="B251" s="240" t="str">
        <f>VLOOKUP(A251,'Energy Provider Accounts'!C:F,2,FALSE)</f>
        <v>Sewer District Dusinberre Road</v>
      </c>
      <c r="C251" s="243" t="s">
        <v>230</v>
      </c>
      <c r="D251" s="244">
        <v>42705</v>
      </c>
      <c r="E251" s="244">
        <v>42675</v>
      </c>
      <c r="F251" s="243">
        <v>30</v>
      </c>
      <c r="G251" s="243" t="s">
        <v>253</v>
      </c>
      <c r="H251" s="243" t="s">
        <v>254</v>
      </c>
      <c r="I251" s="243">
        <v>75</v>
      </c>
      <c r="J251" s="243">
        <v>0</v>
      </c>
      <c r="K251" s="243">
        <v>0</v>
      </c>
      <c r="L251" s="243">
        <v>10.49</v>
      </c>
      <c r="M251" s="243">
        <v>31.76</v>
      </c>
      <c r="N251" s="243">
        <v>45.65</v>
      </c>
      <c r="O251">
        <v>2016</v>
      </c>
      <c r="P251" s="310">
        <f t="shared" si="6"/>
        <v>12</v>
      </c>
      <c r="Q251" s="310"/>
      <c r="R251" s="244">
        <v>42675</v>
      </c>
      <c r="S251" s="240" t="str">
        <f t="shared" si="7"/>
        <v>Dec</v>
      </c>
      <c r="T251" s="230" t="s">
        <v>255</v>
      </c>
    </row>
    <row r="252" spans="1:20" x14ac:dyDescent="0.25">
      <c r="A252" s="243">
        <v>8408055000</v>
      </c>
      <c r="B252" s="240" t="str">
        <f>VLOOKUP(A252,'Energy Provider Accounts'!C:F,2,FALSE)</f>
        <v>Sewer District Dusinberre Road</v>
      </c>
      <c r="C252" s="243" t="s">
        <v>230</v>
      </c>
      <c r="D252" s="244">
        <v>42738</v>
      </c>
      <c r="E252" s="244">
        <v>42708</v>
      </c>
      <c r="F252" s="243">
        <v>30</v>
      </c>
      <c r="G252" s="243" t="s">
        <v>256</v>
      </c>
      <c r="H252" s="243" t="s">
        <v>254</v>
      </c>
      <c r="I252" s="243">
        <v>88</v>
      </c>
      <c r="J252" s="243">
        <v>0</v>
      </c>
      <c r="K252" s="243">
        <v>0</v>
      </c>
      <c r="L252" s="243">
        <v>10.039999999999999</v>
      </c>
      <c r="M252" s="243">
        <v>32.270000000000003</v>
      </c>
      <c r="N252" s="243">
        <v>45.71</v>
      </c>
      <c r="O252">
        <v>2017</v>
      </c>
      <c r="P252" s="310">
        <f t="shared" si="6"/>
        <v>1</v>
      </c>
      <c r="Q252" s="310"/>
      <c r="R252" s="244">
        <v>42708</v>
      </c>
      <c r="S252" s="240" t="str">
        <f t="shared" si="7"/>
        <v>Jan</v>
      </c>
      <c r="T252" s="230" t="s">
        <v>255</v>
      </c>
    </row>
    <row r="253" spans="1:20" x14ac:dyDescent="0.25">
      <c r="A253" s="243">
        <v>8408055000</v>
      </c>
      <c r="B253" s="240" t="str">
        <f>VLOOKUP(A253,'Energy Provider Accounts'!C:F,2,FALSE)</f>
        <v>Sewer District Dusinberre Road</v>
      </c>
      <c r="C253" s="243" t="s">
        <v>230</v>
      </c>
      <c r="D253" s="244">
        <v>42765</v>
      </c>
      <c r="E253" s="244">
        <v>42735</v>
      </c>
      <c r="F253" s="243">
        <v>30</v>
      </c>
      <c r="G253" s="243" t="s">
        <v>253</v>
      </c>
      <c r="H253" s="243" t="s">
        <v>254</v>
      </c>
      <c r="I253" s="243">
        <v>419</v>
      </c>
      <c r="J253" s="243">
        <v>0</v>
      </c>
      <c r="K253" s="243">
        <v>0</v>
      </c>
      <c r="L253" s="243">
        <v>57.05</v>
      </c>
      <c r="M253" s="243">
        <v>13.94</v>
      </c>
      <c r="N253" s="243">
        <v>76.709999999999994</v>
      </c>
      <c r="O253">
        <v>2017</v>
      </c>
      <c r="P253" s="310">
        <f t="shared" si="6"/>
        <v>1</v>
      </c>
      <c r="Q253" s="310"/>
      <c r="R253" s="244">
        <v>42735</v>
      </c>
      <c r="S253" s="240" t="str">
        <f t="shared" si="7"/>
        <v>Jan</v>
      </c>
      <c r="T253" s="230" t="s">
        <v>252</v>
      </c>
    </row>
    <row r="254" spans="1:20" x14ac:dyDescent="0.25">
      <c r="A254" s="243">
        <v>8408055000</v>
      </c>
      <c r="B254" s="240" t="str">
        <f>VLOOKUP(A254,'Energy Provider Accounts'!C:F,2,FALSE)</f>
        <v>Sewer District Dusinberre Road</v>
      </c>
      <c r="C254" s="243" t="s">
        <v>230</v>
      </c>
      <c r="D254" s="244">
        <v>42796</v>
      </c>
      <c r="E254" s="244">
        <v>42766</v>
      </c>
      <c r="F254" s="243">
        <v>30</v>
      </c>
      <c r="G254" s="243" t="s">
        <v>256</v>
      </c>
      <c r="H254" s="243" t="s">
        <v>254</v>
      </c>
      <c r="I254" s="243">
        <v>80</v>
      </c>
      <c r="J254" s="243">
        <v>0</v>
      </c>
      <c r="K254" s="243">
        <v>0</v>
      </c>
      <c r="L254" s="243">
        <v>11.88</v>
      </c>
      <c r="M254" s="243">
        <v>30.51</v>
      </c>
      <c r="N254" s="243">
        <v>45.79</v>
      </c>
      <c r="O254">
        <v>2017</v>
      </c>
      <c r="P254" s="310">
        <f t="shared" si="6"/>
        <v>3</v>
      </c>
      <c r="Q254" s="310"/>
      <c r="R254" s="244">
        <v>42766</v>
      </c>
      <c r="S254" s="240" t="str">
        <f t="shared" si="7"/>
        <v>Mar</v>
      </c>
      <c r="T254" s="230" t="s">
        <v>252</v>
      </c>
    </row>
    <row r="255" spans="1:20" x14ac:dyDescent="0.25">
      <c r="A255" s="243">
        <v>8408055000</v>
      </c>
      <c r="B255" s="240" t="str">
        <f>VLOOKUP(A255,'Energy Provider Accounts'!C:F,2,FALSE)</f>
        <v>Sewer District Dusinberre Road</v>
      </c>
      <c r="C255" s="243" t="s">
        <v>230</v>
      </c>
      <c r="D255" s="244">
        <v>42824</v>
      </c>
      <c r="E255" s="244">
        <v>42794</v>
      </c>
      <c r="F255" s="243">
        <v>30</v>
      </c>
      <c r="G255" s="243" t="s">
        <v>253</v>
      </c>
      <c r="H255" s="243" t="s">
        <v>254</v>
      </c>
      <c r="I255" s="243">
        <v>678</v>
      </c>
      <c r="J255" s="243">
        <v>0</v>
      </c>
      <c r="K255" s="243">
        <v>0</v>
      </c>
      <c r="L255" s="243">
        <v>79.03</v>
      </c>
      <c r="M255" s="243">
        <v>8.2799999999999994</v>
      </c>
      <c r="N255" s="243">
        <v>94.34</v>
      </c>
      <c r="O255">
        <v>2017</v>
      </c>
      <c r="P255" s="310">
        <f t="shared" si="6"/>
        <v>3</v>
      </c>
      <c r="Q255" s="310"/>
      <c r="R255" s="244">
        <v>42794</v>
      </c>
      <c r="S255" s="240" t="str">
        <f t="shared" si="7"/>
        <v>Mar</v>
      </c>
      <c r="T255" s="230" t="s">
        <v>252</v>
      </c>
    </row>
    <row r="256" spans="1:20" x14ac:dyDescent="0.25">
      <c r="A256" s="243">
        <v>8408055000</v>
      </c>
      <c r="B256" s="240" t="str">
        <f>VLOOKUP(A256,'Energy Provider Accounts'!C:F,2,FALSE)</f>
        <v>Sewer District Dusinberre Road</v>
      </c>
      <c r="C256" s="243" t="s">
        <v>230</v>
      </c>
      <c r="D256" s="244">
        <v>42856</v>
      </c>
      <c r="E256" s="244">
        <v>42826</v>
      </c>
      <c r="F256" s="243">
        <v>30</v>
      </c>
      <c r="G256" s="243" t="s">
        <v>256</v>
      </c>
      <c r="H256" s="243" t="s">
        <v>254</v>
      </c>
      <c r="I256" s="243">
        <v>92</v>
      </c>
      <c r="J256" s="243">
        <v>0</v>
      </c>
      <c r="K256" s="243">
        <v>0</v>
      </c>
      <c r="L256" s="243">
        <v>14.59</v>
      </c>
      <c r="M256" s="243">
        <v>29.36</v>
      </c>
      <c r="N256" s="243">
        <v>47.48</v>
      </c>
      <c r="O256">
        <v>2017</v>
      </c>
      <c r="P256" s="310">
        <f t="shared" si="6"/>
        <v>5</v>
      </c>
      <c r="Q256" s="310"/>
      <c r="R256" s="244">
        <v>42826</v>
      </c>
      <c r="S256" s="240" t="str">
        <f t="shared" si="7"/>
        <v>May</v>
      </c>
      <c r="T256" s="229" t="s">
        <v>252</v>
      </c>
    </row>
    <row r="257" spans="1:21" x14ac:dyDescent="0.25">
      <c r="A257" s="243">
        <v>8408055000</v>
      </c>
      <c r="B257" s="240" t="str">
        <f>VLOOKUP(A257,'Energy Provider Accounts'!C:F,2,FALSE)</f>
        <v>Sewer District Dusinberre Road</v>
      </c>
      <c r="C257" s="243" t="s">
        <v>230</v>
      </c>
      <c r="D257" s="244">
        <v>42887</v>
      </c>
      <c r="E257" s="244">
        <v>42857</v>
      </c>
      <c r="F257" s="243">
        <v>30</v>
      </c>
      <c r="G257" s="243" t="s">
        <v>253</v>
      </c>
      <c r="H257" s="243" t="s">
        <v>254</v>
      </c>
      <c r="I257" s="243">
        <v>718</v>
      </c>
      <c r="J257" s="243">
        <v>0</v>
      </c>
      <c r="K257" s="243">
        <v>0</v>
      </c>
      <c r="L257" s="243">
        <v>123.21</v>
      </c>
      <c r="M257" s="243">
        <v>-13.69</v>
      </c>
      <c r="N257" s="243">
        <v>118.34</v>
      </c>
      <c r="O257">
        <v>2017</v>
      </c>
      <c r="P257" s="310">
        <f t="shared" si="6"/>
        <v>6</v>
      </c>
      <c r="Q257" s="310"/>
      <c r="R257" s="244">
        <v>42857</v>
      </c>
      <c r="S257" s="240" t="str">
        <f t="shared" si="7"/>
        <v>Jun</v>
      </c>
      <c r="T257" s="230" t="s">
        <v>252</v>
      </c>
    </row>
    <row r="258" spans="1:21" x14ac:dyDescent="0.25">
      <c r="A258" s="243">
        <v>8408055000</v>
      </c>
      <c r="B258" s="240" t="str">
        <f>VLOOKUP(A258,'Energy Provider Accounts'!C:F,2,FALSE)</f>
        <v>Sewer District Dusinberre Road</v>
      </c>
      <c r="C258" s="243" t="s">
        <v>230</v>
      </c>
      <c r="D258" s="244">
        <v>42915</v>
      </c>
      <c r="E258" s="244">
        <v>42885</v>
      </c>
      <c r="F258" s="243">
        <v>30</v>
      </c>
      <c r="G258" s="243" t="s">
        <v>256</v>
      </c>
      <c r="H258" s="243" t="s">
        <v>254</v>
      </c>
      <c r="I258" s="243">
        <v>70</v>
      </c>
      <c r="J258" s="243">
        <v>0</v>
      </c>
      <c r="K258" s="243">
        <v>0</v>
      </c>
      <c r="L258" s="243">
        <v>8.61</v>
      </c>
      <c r="M258" s="243">
        <v>31.96</v>
      </c>
      <c r="N258" s="243">
        <v>43.84</v>
      </c>
      <c r="O258">
        <v>2017</v>
      </c>
      <c r="P258" s="310">
        <f t="shared" si="6"/>
        <v>6</v>
      </c>
      <c r="Q258" s="310"/>
      <c r="R258" s="244">
        <v>42885</v>
      </c>
      <c r="S258" s="240" t="str">
        <f t="shared" si="7"/>
        <v>Jun</v>
      </c>
      <c r="T258" s="230" t="s">
        <v>252</v>
      </c>
    </row>
    <row r="259" spans="1:21" x14ac:dyDescent="0.25">
      <c r="A259" s="243">
        <v>8408055000</v>
      </c>
      <c r="B259" s="240" t="str">
        <f>VLOOKUP(A259,'Energy Provider Accounts'!C:F,2,FALSE)</f>
        <v>Sewer District Dusinberre Road</v>
      </c>
      <c r="C259" s="243" t="s">
        <v>230</v>
      </c>
      <c r="D259" s="244">
        <v>42947</v>
      </c>
      <c r="E259" s="244">
        <v>42917</v>
      </c>
      <c r="F259" s="243">
        <v>30</v>
      </c>
      <c r="G259" s="243" t="s">
        <v>253</v>
      </c>
      <c r="H259" s="243" t="s">
        <v>254</v>
      </c>
      <c r="I259" s="243">
        <v>215</v>
      </c>
      <c r="J259" s="243">
        <v>0</v>
      </c>
      <c r="K259" s="243">
        <v>0</v>
      </c>
      <c r="L259" s="243">
        <v>30.39</v>
      </c>
      <c r="M259" s="243">
        <v>27.16</v>
      </c>
      <c r="N259" s="243">
        <v>62.18</v>
      </c>
      <c r="O259">
        <v>2017</v>
      </c>
      <c r="P259" s="310">
        <f t="shared" si="6"/>
        <v>7</v>
      </c>
      <c r="Q259" s="310"/>
      <c r="R259" s="244">
        <v>42917</v>
      </c>
      <c r="S259" s="240" t="str">
        <f t="shared" si="7"/>
        <v>Jul</v>
      </c>
      <c r="T259" s="230" t="s">
        <v>255</v>
      </c>
    </row>
    <row r="260" spans="1:21" x14ac:dyDescent="0.25">
      <c r="A260" s="243">
        <v>8408055000</v>
      </c>
      <c r="B260" s="240" t="str">
        <f>VLOOKUP(A260,'Energy Provider Accounts'!C:F,2,FALSE)</f>
        <v>Sewer District Dusinberre Road</v>
      </c>
      <c r="C260" s="243" t="s">
        <v>230</v>
      </c>
      <c r="D260" s="244">
        <v>42976</v>
      </c>
      <c r="E260" s="244">
        <v>42946</v>
      </c>
      <c r="F260" s="243">
        <v>30</v>
      </c>
      <c r="G260" s="243" t="s">
        <v>256</v>
      </c>
      <c r="H260" s="243" t="s">
        <v>254</v>
      </c>
      <c r="I260" s="243">
        <v>65</v>
      </c>
      <c r="J260" s="243">
        <v>0</v>
      </c>
      <c r="K260" s="243">
        <v>0</v>
      </c>
      <c r="L260" s="243">
        <v>9.16</v>
      </c>
      <c r="M260" s="243">
        <v>32.71</v>
      </c>
      <c r="N260" s="243">
        <v>45.24</v>
      </c>
      <c r="O260">
        <v>2017</v>
      </c>
      <c r="P260" s="310">
        <f t="shared" si="6"/>
        <v>8</v>
      </c>
      <c r="Q260" s="310"/>
      <c r="R260" s="244">
        <v>42946</v>
      </c>
      <c r="S260" s="240" t="str">
        <f t="shared" si="7"/>
        <v>Aug</v>
      </c>
      <c r="T260" s="230" t="s">
        <v>255</v>
      </c>
    </row>
    <row r="261" spans="1:21" x14ac:dyDescent="0.25">
      <c r="A261" s="243">
        <v>8408055000</v>
      </c>
      <c r="B261" s="240" t="str">
        <f>VLOOKUP(A261,'Energy Provider Accounts'!C:F,2,FALSE)</f>
        <v>Sewer District Dusinberre Road</v>
      </c>
      <c r="C261" s="243" t="s">
        <v>230</v>
      </c>
      <c r="D261" s="244">
        <v>43007</v>
      </c>
      <c r="E261" s="244">
        <v>42977</v>
      </c>
      <c r="F261" s="243">
        <v>30</v>
      </c>
      <c r="G261" s="243" t="s">
        <v>253</v>
      </c>
      <c r="H261" s="243" t="s">
        <v>254</v>
      </c>
      <c r="I261" s="243">
        <v>155</v>
      </c>
      <c r="J261" s="243">
        <v>0</v>
      </c>
      <c r="K261" s="243">
        <v>0</v>
      </c>
      <c r="L261" s="243">
        <v>17.78</v>
      </c>
      <c r="M261" s="243">
        <v>31.66</v>
      </c>
      <c r="N261" s="243">
        <v>53.42</v>
      </c>
      <c r="O261">
        <v>2017</v>
      </c>
      <c r="P261" s="310">
        <f t="shared" si="6"/>
        <v>9</v>
      </c>
      <c r="Q261" s="310"/>
      <c r="R261" s="244">
        <v>42977</v>
      </c>
      <c r="S261" s="240" t="str">
        <f t="shared" si="7"/>
        <v>Sep</v>
      </c>
      <c r="T261" s="230" t="s">
        <v>255</v>
      </c>
    </row>
    <row r="262" spans="1:21" x14ac:dyDescent="0.25">
      <c r="A262" s="243">
        <v>8408055000</v>
      </c>
      <c r="B262" s="240" t="str">
        <f>VLOOKUP(A262,'Energy Provider Accounts'!C:F,2,FALSE)</f>
        <v>Sewer District Dusinberre Road</v>
      </c>
      <c r="C262" s="243" t="s">
        <v>230</v>
      </c>
      <c r="D262" s="244">
        <v>43035</v>
      </c>
      <c r="E262" s="244">
        <v>43005</v>
      </c>
      <c r="F262" s="243">
        <v>30</v>
      </c>
      <c r="G262" s="243" t="s">
        <v>256</v>
      </c>
      <c r="H262" s="243" t="s">
        <v>254</v>
      </c>
      <c r="I262" s="243">
        <v>50</v>
      </c>
      <c r="J262" s="243">
        <v>0</v>
      </c>
      <c r="K262" s="243">
        <v>0</v>
      </c>
      <c r="L262" s="243">
        <v>6.13</v>
      </c>
      <c r="M262" s="243">
        <v>33.71</v>
      </c>
      <c r="N262" s="243">
        <v>43.04</v>
      </c>
      <c r="O262">
        <v>2017</v>
      </c>
      <c r="P262" s="310">
        <f t="shared" si="6"/>
        <v>10</v>
      </c>
      <c r="Q262" s="310"/>
      <c r="R262" s="244">
        <v>43005</v>
      </c>
      <c r="S262" s="240" t="str">
        <f t="shared" si="7"/>
        <v>Oct</v>
      </c>
      <c r="T262" s="230" t="s">
        <v>255</v>
      </c>
    </row>
    <row r="263" spans="1:21" x14ac:dyDescent="0.25">
      <c r="A263" s="243">
        <v>8408055000</v>
      </c>
      <c r="B263" s="240" t="str">
        <f>VLOOKUP(A263,'Energy Provider Accounts'!C:F,2,FALSE)</f>
        <v>Sewer District Dusinberre Road</v>
      </c>
      <c r="C263" s="243" t="s">
        <v>230</v>
      </c>
      <c r="D263" s="244">
        <v>43069</v>
      </c>
      <c r="E263" s="244">
        <v>43039</v>
      </c>
      <c r="F263" s="243">
        <v>30</v>
      </c>
      <c r="G263" s="243" t="s">
        <v>253</v>
      </c>
      <c r="H263" s="243" t="s">
        <v>254</v>
      </c>
      <c r="I263" s="243">
        <v>112</v>
      </c>
      <c r="J263" s="243">
        <v>0</v>
      </c>
      <c r="K263" s="243">
        <v>0</v>
      </c>
      <c r="L263" s="243">
        <v>15.33</v>
      </c>
      <c r="M263" s="243">
        <v>31.34</v>
      </c>
      <c r="N263" s="243">
        <v>50.43</v>
      </c>
      <c r="O263">
        <v>2017</v>
      </c>
      <c r="P263" s="310">
        <f t="shared" si="6"/>
        <v>11</v>
      </c>
      <c r="Q263" s="310"/>
      <c r="R263" s="244">
        <v>43039</v>
      </c>
      <c r="S263" s="240" t="str">
        <f t="shared" si="7"/>
        <v>Nov</v>
      </c>
      <c r="T263" s="230" t="s">
        <v>255</v>
      </c>
    </row>
    <row r="264" spans="1:21" x14ac:dyDescent="0.25">
      <c r="A264" s="243">
        <v>8408055000</v>
      </c>
      <c r="B264" s="240" t="str">
        <f>VLOOKUP(A264,'Energy Provider Accounts'!C:F,2,FALSE)</f>
        <v>Sewer District Dusinberre Road</v>
      </c>
      <c r="C264" s="243" t="s">
        <v>230</v>
      </c>
      <c r="D264" s="332">
        <v>43102</v>
      </c>
      <c r="E264" s="332">
        <v>43069</v>
      </c>
      <c r="F264" s="333">
        <v>34</v>
      </c>
      <c r="G264" s="333" t="s">
        <v>263</v>
      </c>
      <c r="H264" s="333" t="s">
        <v>254</v>
      </c>
      <c r="I264" s="333">
        <v>278</v>
      </c>
      <c r="J264" s="333"/>
      <c r="K264" s="333"/>
      <c r="L264" s="333"/>
      <c r="M264" s="333"/>
      <c r="N264" s="333">
        <v>29.19</v>
      </c>
      <c r="O264" s="335">
        <v>2018</v>
      </c>
      <c r="P264" s="336">
        <v>12</v>
      </c>
      <c r="Q264" s="336"/>
      <c r="R264" s="332">
        <v>43069</v>
      </c>
      <c r="S264" s="337" t="str">
        <f t="shared" si="7"/>
        <v>Dec</v>
      </c>
      <c r="T264" s="338" t="s">
        <v>252</v>
      </c>
      <c r="U264" s="114" t="s">
        <v>273</v>
      </c>
    </row>
    <row r="265" spans="1:21" x14ac:dyDescent="0.25">
      <c r="A265" s="243">
        <v>8408055000</v>
      </c>
      <c r="B265" s="240" t="str">
        <f>VLOOKUP(A265,'Energy Provider Accounts'!C:F,2,FALSE)</f>
        <v>Sewer District Dusinberre Road</v>
      </c>
      <c r="C265" s="243" t="s">
        <v>230</v>
      </c>
      <c r="D265" s="332">
        <v>43131</v>
      </c>
      <c r="E265" s="332">
        <v>43102</v>
      </c>
      <c r="F265" s="333">
        <v>30</v>
      </c>
      <c r="G265" s="333" t="s">
        <v>263</v>
      </c>
      <c r="H265" s="333" t="s">
        <v>254</v>
      </c>
      <c r="I265" s="333">
        <v>26</v>
      </c>
      <c r="J265" s="333"/>
      <c r="K265" s="333"/>
      <c r="L265" s="333"/>
      <c r="M265" s="333"/>
      <c r="N265" s="333">
        <v>2.73</v>
      </c>
      <c r="O265" s="335">
        <v>2018</v>
      </c>
      <c r="P265" s="336">
        <v>1</v>
      </c>
      <c r="Q265" s="336"/>
      <c r="R265" s="332">
        <v>43102</v>
      </c>
      <c r="S265" s="337" t="str">
        <f t="shared" si="7"/>
        <v>Jan</v>
      </c>
      <c r="T265" s="338" t="s">
        <v>252</v>
      </c>
      <c r="U265" s="114" t="s">
        <v>273</v>
      </c>
    </row>
    <row r="266" spans="1:21" x14ac:dyDescent="0.25">
      <c r="A266" s="243">
        <v>8408055000</v>
      </c>
      <c r="B266" s="240" t="str">
        <f>VLOOKUP(A266,'Energy Provider Accounts'!C:F,2,FALSE)</f>
        <v>Sewer District Dusinberre Road</v>
      </c>
      <c r="C266" s="243" t="s">
        <v>230</v>
      </c>
      <c r="D266" s="244">
        <v>43160</v>
      </c>
      <c r="E266" s="244">
        <v>43131</v>
      </c>
      <c r="F266" s="243">
        <v>30</v>
      </c>
      <c r="G266" s="243" t="s">
        <v>256</v>
      </c>
      <c r="H266" s="243" t="s">
        <v>254</v>
      </c>
      <c r="I266" s="243">
        <v>366</v>
      </c>
      <c r="J266" s="243"/>
      <c r="K266" s="243"/>
      <c r="L266" s="243">
        <v>44.41</v>
      </c>
      <c r="M266" s="243">
        <v>47.78</v>
      </c>
      <c r="N266" s="243">
        <v>92.19</v>
      </c>
      <c r="O266" s="318">
        <v>2018</v>
      </c>
      <c r="P266" s="310">
        <v>2</v>
      </c>
      <c r="Q266" s="310"/>
      <c r="R266" s="244">
        <v>43131</v>
      </c>
      <c r="S266" s="240" t="s">
        <v>82</v>
      </c>
      <c r="T266" s="230" t="s">
        <v>252</v>
      </c>
    </row>
    <row r="267" spans="1:21" x14ac:dyDescent="0.25">
      <c r="A267" s="243">
        <v>8408055000</v>
      </c>
      <c r="B267" s="240" t="str">
        <f>VLOOKUP(A267,'Energy Provider Accounts'!C:F,2,FALSE)</f>
        <v>Sewer District Dusinberre Road</v>
      </c>
      <c r="C267" s="243" t="s">
        <v>230</v>
      </c>
      <c r="D267" s="332">
        <v>43193</v>
      </c>
      <c r="E267" s="332">
        <v>43160</v>
      </c>
      <c r="F267" s="333">
        <v>34</v>
      </c>
      <c r="G267" s="333" t="s">
        <v>263</v>
      </c>
      <c r="H267" s="333" t="s">
        <v>254</v>
      </c>
      <c r="I267" s="333">
        <v>407</v>
      </c>
      <c r="J267" s="333"/>
      <c r="K267" s="333"/>
      <c r="L267" s="333"/>
      <c r="M267" s="333"/>
      <c r="N267" s="333">
        <v>42.74</v>
      </c>
      <c r="O267" s="333">
        <v>2018</v>
      </c>
      <c r="P267" s="336">
        <v>3</v>
      </c>
      <c r="Q267" s="336"/>
      <c r="R267" s="332">
        <v>43160</v>
      </c>
      <c r="S267" s="339" t="s">
        <v>83</v>
      </c>
      <c r="T267" s="338" t="s">
        <v>252</v>
      </c>
      <c r="U267" t="s">
        <v>273</v>
      </c>
    </row>
    <row r="268" spans="1:21" x14ac:dyDescent="0.25">
      <c r="A268" s="243">
        <v>8408055000</v>
      </c>
      <c r="B268" s="240" t="str">
        <f>VLOOKUP(A268,'Energy Provider Accounts'!C:F,2,FALSE)</f>
        <v>Sewer District Dusinberre Road</v>
      </c>
      <c r="C268" s="243" t="s">
        <v>230</v>
      </c>
      <c r="D268" s="244">
        <v>43221</v>
      </c>
      <c r="E268" s="244">
        <v>43193</v>
      </c>
      <c r="F268" s="243">
        <v>28</v>
      </c>
      <c r="G268" s="243" t="s">
        <v>256</v>
      </c>
      <c r="H268" s="243" t="s">
        <v>254</v>
      </c>
      <c r="I268" s="243">
        <v>378</v>
      </c>
      <c r="J268" s="243"/>
      <c r="K268" s="243"/>
      <c r="L268" s="243">
        <v>28.66</v>
      </c>
      <c r="M268" s="243">
        <v>49.59</v>
      </c>
      <c r="N268" s="243">
        <v>78.25</v>
      </c>
      <c r="O268" s="318">
        <v>2018</v>
      </c>
      <c r="P268" s="310">
        <v>4</v>
      </c>
      <c r="Q268" s="310"/>
      <c r="R268" s="244">
        <v>43193</v>
      </c>
      <c r="S268" s="240" t="s">
        <v>270</v>
      </c>
      <c r="T268" s="230" t="s">
        <v>252</v>
      </c>
    </row>
    <row r="269" spans="1:21" x14ac:dyDescent="0.25">
      <c r="A269" s="243">
        <v>8408055000</v>
      </c>
      <c r="B269" s="240" t="str">
        <f>VLOOKUP(A269,'Energy Provider Accounts'!C:F,2,FALSE)</f>
        <v>Sewer District Dusinberre Road</v>
      </c>
      <c r="C269" s="243" t="s">
        <v>230</v>
      </c>
      <c r="D269" s="244">
        <v>43251</v>
      </c>
      <c r="E269" s="244">
        <v>43221</v>
      </c>
      <c r="F269" s="243">
        <v>32</v>
      </c>
      <c r="G269" s="243" t="s">
        <v>263</v>
      </c>
      <c r="H269" s="243" t="s">
        <v>254</v>
      </c>
      <c r="I269" s="243">
        <v>184</v>
      </c>
      <c r="J269" s="243"/>
      <c r="K269" s="243"/>
      <c r="L269" s="243">
        <v>20.56</v>
      </c>
      <c r="M269" s="243">
        <v>41.75</v>
      </c>
      <c r="N269" s="243">
        <v>62.31</v>
      </c>
      <c r="O269" s="318">
        <v>2018</v>
      </c>
      <c r="P269" s="310">
        <v>5</v>
      </c>
      <c r="Q269" s="310"/>
      <c r="R269" s="244">
        <v>43221</v>
      </c>
      <c r="S269" s="240" t="s">
        <v>85</v>
      </c>
      <c r="T269" s="230" t="s">
        <v>252</v>
      </c>
    </row>
    <row r="270" spans="1:21" x14ac:dyDescent="0.25">
      <c r="A270" s="243">
        <v>8408055000</v>
      </c>
      <c r="B270" s="240" t="str">
        <f>VLOOKUP(A270,'Energy Provider Accounts'!C:F,2,FALSE)</f>
        <v>Sewer District Dusinberre Road</v>
      </c>
      <c r="C270" s="243" t="s">
        <v>230</v>
      </c>
      <c r="D270" s="332">
        <v>43280</v>
      </c>
      <c r="E270" s="332">
        <v>43251</v>
      </c>
      <c r="F270" s="333">
        <v>30</v>
      </c>
      <c r="G270" s="333" t="s">
        <v>256</v>
      </c>
      <c r="H270" s="333" t="s">
        <v>254</v>
      </c>
      <c r="I270" s="333">
        <v>137</v>
      </c>
      <c r="J270" s="333"/>
      <c r="K270" s="333"/>
      <c r="L270" s="333"/>
      <c r="M270" s="333"/>
      <c r="N270" s="333">
        <v>14.39</v>
      </c>
      <c r="O270" s="333">
        <v>2018</v>
      </c>
      <c r="P270" s="336">
        <v>6</v>
      </c>
      <c r="Q270" s="336"/>
      <c r="R270" s="332">
        <v>43251</v>
      </c>
      <c r="S270" s="337" t="s">
        <v>86</v>
      </c>
      <c r="T270" s="338" t="s">
        <v>252</v>
      </c>
      <c r="U270" t="s">
        <v>273</v>
      </c>
    </row>
    <row r="271" spans="1:21" x14ac:dyDescent="0.25">
      <c r="A271" s="243">
        <v>8408055000</v>
      </c>
      <c r="B271" s="240" t="str">
        <f>VLOOKUP(A271,'Energy Provider Accounts'!C:F,2,FALSE)</f>
        <v>Sewer District Dusinberre Road</v>
      </c>
      <c r="C271" s="243" t="s">
        <v>230</v>
      </c>
      <c r="D271" s="332">
        <v>43313</v>
      </c>
      <c r="E271" s="332">
        <v>43280</v>
      </c>
      <c r="F271" s="333">
        <v>34</v>
      </c>
      <c r="G271" s="333" t="s">
        <v>263</v>
      </c>
      <c r="H271" s="333" t="s">
        <v>254</v>
      </c>
      <c r="I271" s="333">
        <v>184</v>
      </c>
      <c r="J271" s="333"/>
      <c r="K271" s="333"/>
      <c r="L271" s="333"/>
      <c r="M271" s="333"/>
      <c r="N271" s="333">
        <v>19.32</v>
      </c>
      <c r="O271" s="333">
        <v>2018</v>
      </c>
      <c r="P271" s="336">
        <v>7</v>
      </c>
      <c r="Q271" s="336"/>
      <c r="R271" s="332">
        <v>43280</v>
      </c>
      <c r="S271" s="337" t="s">
        <v>87</v>
      </c>
      <c r="T271" s="338" t="s">
        <v>252</v>
      </c>
      <c r="U271" t="s">
        <v>273</v>
      </c>
    </row>
    <row r="272" spans="1:21" x14ac:dyDescent="0.25">
      <c r="A272" s="243">
        <v>8408055000</v>
      </c>
      <c r="B272" s="240" t="str">
        <f>VLOOKUP(A272,'Energy Provider Accounts'!C:F,2,FALSE)</f>
        <v>Sewer District Dusinberre Road</v>
      </c>
      <c r="C272" s="243" t="s">
        <v>230</v>
      </c>
      <c r="D272" s="244">
        <v>43341</v>
      </c>
      <c r="E272" s="244">
        <v>43313</v>
      </c>
      <c r="F272" s="243">
        <v>30</v>
      </c>
      <c r="G272" s="243" t="s">
        <v>256</v>
      </c>
      <c r="H272" s="243" t="s">
        <v>254</v>
      </c>
      <c r="I272" s="243">
        <v>102</v>
      </c>
      <c r="J272" s="243"/>
      <c r="K272" s="243"/>
      <c r="L272" s="249">
        <v>11.7</v>
      </c>
      <c r="M272" s="243">
        <v>36.35</v>
      </c>
      <c r="N272" s="243">
        <v>48.05</v>
      </c>
      <c r="O272" s="318">
        <v>2018</v>
      </c>
      <c r="P272" s="310">
        <v>8</v>
      </c>
      <c r="Q272" s="310"/>
      <c r="R272" s="244">
        <v>43313</v>
      </c>
      <c r="S272" s="240" t="s">
        <v>88</v>
      </c>
      <c r="T272" s="230" t="s">
        <v>252</v>
      </c>
    </row>
    <row r="273" spans="1:21" x14ac:dyDescent="0.25">
      <c r="A273" s="243">
        <v>8408055000</v>
      </c>
      <c r="B273" s="240" t="str">
        <f>VLOOKUP(A273,'Energy Provider Accounts'!C:F,2,FALSE)</f>
        <v>Sewer District Dusinberre Road</v>
      </c>
      <c r="C273" s="243" t="s">
        <v>230</v>
      </c>
      <c r="D273" s="332">
        <v>43374</v>
      </c>
      <c r="E273" s="332">
        <v>43341</v>
      </c>
      <c r="F273" s="333">
        <v>34</v>
      </c>
      <c r="G273" s="333" t="s">
        <v>263</v>
      </c>
      <c r="H273" s="333" t="s">
        <v>254</v>
      </c>
      <c r="I273" s="333">
        <v>347</v>
      </c>
      <c r="J273" s="333"/>
      <c r="K273" s="333"/>
      <c r="L273" s="333"/>
      <c r="M273" s="333"/>
      <c r="N273" s="333">
        <v>36.44</v>
      </c>
      <c r="O273" s="333">
        <v>2018</v>
      </c>
      <c r="P273" s="336">
        <v>9</v>
      </c>
      <c r="Q273" s="336"/>
      <c r="R273" s="332">
        <v>43341</v>
      </c>
      <c r="S273" s="337" t="s">
        <v>89</v>
      </c>
      <c r="T273" s="338" t="s">
        <v>252</v>
      </c>
      <c r="U273" t="s">
        <v>273</v>
      </c>
    </row>
    <row r="274" spans="1:21" x14ac:dyDescent="0.25">
      <c r="A274" s="243">
        <v>8408055000</v>
      </c>
      <c r="B274" s="240" t="str">
        <f>VLOOKUP(A274,'Energy Provider Accounts'!C:F,2,FALSE)</f>
        <v>Sewer District Dusinberre Road</v>
      </c>
      <c r="C274" s="243" t="s">
        <v>230</v>
      </c>
      <c r="D274" s="244">
        <v>43402</v>
      </c>
      <c r="E274" s="244">
        <v>43374</v>
      </c>
      <c r="F274" s="243">
        <v>29</v>
      </c>
      <c r="G274" s="243" t="s">
        <v>256</v>
      </c>
      <c r="H274" s="243" t="s">
        <v>254</v>
      </c>
      <c r="I274" s="243">
        <v>75</v>
      </c>
      <c r="J274" s="243"/>
      <c r="K274" s="243"/>
      <c r="L274" s="243">
        <v>9.66</v>
      </c>
      <c r="M274" s="243">
        <v>35.17</v>
      </c>
      <c r="N274" s="243">
        <v>44.83</v>
      </c>
      <c r="O274" s="318">
        <v>2018</v>
      </c>
      <c r="P274" s="310">
        <v>10</v>
      </c>
      <c r="Q274" s="310"/>
      <c r="R274" s="244">
        <v>43374</v>
      </c>
      <c r="S274" s="240" t="s">
        <v>90</v>
      </c>
      <c r="T274" s="230" t="s">
        <v>252</v>
      </c>
    </row>
    <row r="275" spans="1:21" x14ac:dyDescent="0.25">
      <c r="A275" s="243">
        <v>8408055000</v>
      </c>
      <c r="B275" s="240" t="str">
        <f>VLOOKUP(A275,'Energy Provider Accounts'!C:F,2,FALSE)</f>
        <v>Sewer District Dusinberre Road</v>
      </c>
      <c r="C275" s="243" t="s">
        <v>230</v>
      </c>
      <c r="D275" s="332">
        <v>43433</v>
      </c>
      <c r="E275" s="332">
        <v>43402</v>
      </c>
      <c r="F275" s="333">
        <v>34</v>
      </c>
      <c r="G275" s="333" t="s">
        <v>263</v>
      </c>
      <c r="H275" s="333" t="s">
        <v>254</v>
      </c>
      <c r="I275" s="333">
        <v>737</v>
      </c>
      <c r="J275" s="333"/>
      <c r="K275" s="333"/>
      <c r="L275" s="333"/>
      <c r="M275" s="333"/>
      <c r="N275" s="333">
        <v>77.39</v>
      </c>
      <c r="O275" s="333">
        <v>2018</v>
      </c>
      <c r="P275" s="336">
        <v>11</v>
      </c>
      <c r="Q275" s="336"/>
      <c r="R275" s="332">
        <v>43402</v>
      </c>
      <c r="S275" s="337" t="s">
        <v>91</v>
      </c>
      <c r="T275" s="338" t="s">
        <v>252</v>
      </c>
      <c r="U275" t="s">
        <v>273</v>
      </c>
    </row>
    <row r="276" spans="1:21" x14ac:dyDescent="0.25">
      <c r="A276" s="243">
        <v>8408055000</v>
      </c>
      <c r="B276" s="240" t="str">
        <f>VLOOKUP(A276,'Energy Provider Accounts'!C:F,2,FALSE)</f>
        <v>Sewer District Dusinberre Road</v>
      </c>
      <c r="C276" s="243" t="s">
        <v>230</v>
      </c>
      <c r="D276" s="244">
        <v>43467</v>
      </c>
      <c r="E276" s="244">
        <v>43433</v>
      </c>
      <c r="F276" s="243">
        <v>35</v>
      </c>
      <c r="G276" s="243" t="s">
        <v>256</v>
      </c>
      <c r="H276" s="243" t="s">
        <v>254</v>
      </c>
      <c r="I276" s="243"/>
      <c r="J276" s="243"/>
      <c r="K276" s="243"/>
      <c r="L276" s="243">
        <v>11.74</v>
      </c>
      <c r="M276" s="243">
        <v>38.11</v>
      </c>
      <c r="N276" s="243">
        <v>49.85</v>
      </c>
      <c r="P276" s="310">
        <v>12</v>
      </c>
      <c r="Q276" s="310"/>
      <c r="R276" s="244">
        <v>43433</v>
      </c>
      <c r="S276" s="240" t="s">
        <v>92</v>
      </c>
      <c r="T276" s="230" t="s">
        <v>252</v>
      </c>
    </row>
    <row r="277" spans="1:21" x14ac:dyDescent="0.25">
      <c r="A277" s="243">
        <v>8409153000</v>
      </c>
      <c r="B277" s="240" t="str">
        <f>VLOOKUP(A277,'Energy Provider Accounts'!C:F,2,FALSE)</f>
        <v>Sewer Plant Farmer's Turnpike</v>
      </c>
      <c r="C277" s="243" t="s">
        <v>230</v>
      </c>
      <c r="D277" s="244">
        <v>42038</v>
      </c>
      <c r="E277" s="248">
        <v>41974</v>
      </c>
      <c r="F277" s="243">
        <v>63</v>
      </c>
      <c r="G277" s="243" t="s">
        <v>257</v>
      </c>
      <c r="H277" s="243" t="s">
        <v>254</v>
      </c>
      <c r="I277" s="243">
        <v>0</v>
      </c>
      <c r="J277" s="250"/>
      <c r="K277" s="250"/>
      <c r="L277" s="243">
        <v>0</v>
      </c>
      <c r="M277" s="243">
        <v>75.63</v>
      </c>
      <c r="N277" s="243">
        <v>75.63</v>
      </c>
      <c r="O277">
        <v>2015</v>
      </c>
      <c r="P277" s="310">
        <f t="shared" si="6"/>
        <v>2</v>
      </c>
      <c r="Q277" s="310"/>
      <c r="R277" s="248">
        <v>41974</v>
      </c>
      <c r="S277" s="240" t="str">
        <f t="shared" si="7"/>
        <v>Feb</v>
      </c>
      <c r="T277" s="230" t="s">
        <v>255</v>
      </c>
    </row>
    <row r="278" spans="1:21" x14ac:dyDescent="0.25">
      <c r="A278" s="243">
        <v>8409153000</v>
      </c>
      <c r="B278" s="240" t="str">
        <f>VLOOKUP(A278,'Energy Provider Accounts'!C:F,2,FALSE)</f>
        <v>Sewer Plant Farmer's Turnpike</v>
      </c>
      <c r="C278" s="243" t="s">
        <v>230</v>
      </c>
      <c r="D278" s="244">
        <v>42096</v>
      </c>
      <c r="E278" s="248">
        <v>42038</v>
      </c>
      <c r="F278" s="243">
        <v>58</v>
      </c>
      <c r="G278" s="243" t="s">
        <v>257</v>
      </c>
      <c r="H278" s="243" t="s">
        <v>254</v>
      </c>
      <c r="I278" s="243">
        <v>0</v>
      </c>
      <c r="J278" s="250"/>
      <c r="K278" s="250"/>
      <c r="L278" s="243">
        <v>0</v>
      </c>
      <c r="M278" s="243">
        <v>75.62</v>
      </c>
      <c r="N278" s="243">
        <v>75.62</v>
      </c>
      <c r="O278">
        <v>2015</v>
      </c>
      <c r="P278" s="310">
        <f t="shared" si="6"/>
        <v>4</v>
      </c>
      <c r="Q278" s="310"/>
      <c r="R278" s="248">
        <v>42038</v>
      </c>
      <c r="S278" s="240" t="str">
        <f t="shared" si="7"/>
        <v>Apr</v>
      </c>
      <c r="T278" s="230" t="s">
        <v>255</v>
      </c>
    </row>
    <row r="279" spans="1:21" x14ac:dyDescent="0.25">
      <c r="A279" s="243">
        <v>8409153000</v>
      </c>
      <c r="B279" s="240" t="str">
        <f>VLOOKUP(A279,'Energy Provider Accounts'!C:F,2,FALSE)</f>
        <v>Sewer Plant Farmer's Turnpike</v>
      </c>
      <c r="C279" s="243" t="s">
        <v>230</v>
      </c>
      <c r="D279" s="244">
        <v>42158</v>
      </c>
      <c r="E279" s="248">
        <v>42096</v>
      </c>
      <c r="F279" s="243">
        <v>62</v>
      </c>
      <c r="G279" s="243" t="s">
        <v>257</v>
      </c>
      <c r="H279" s="243" t="s">
        <v>254</v>
      </c>
      <c r="I279" s="243">
        <v>0</v>
      </c>
      <c r="J279" s="250"/>
      <c r="K279" s="250"/>
      <c r="L279" s="243">
        <v>0</v>
      </c>
      <c r="M279" s="243">
        <v>75.62</v>
      </c>
      <c r="N279" s="243">
        <v>75.62</v>
      </c>
      <c r="O279">
        <v>2015</v>
      </c>
      <c r="P279" s="310">
        <f t="shared" si="6"/>
        <v>6</v>
      </c>
      <c r="Q279" s="310"/>
      <c r="R279" s="248">
        <v>42096</v>
      </c>
      <c r="S279" s="240" t="str">
        <f t="shared" si="7"/>
        <v>Jun</v>
      </c>
      <c r="T279" s="230" t="s">
        <v>255</v>
      </c>
    </row>
    <row r="280" spans="1:21" x14ac:dyDescent="0.25">
      <c r="A280" s="239">
        <v>8409153000</v>
      </c>
      <c r="B280" s="240" t="str">
        <f>VLOOKUP(A280,'Energy Provider Accounts'!C:F,2,FALSE)</f>
        <v>Sewer Plant Farmer's Turnpike</v>
      </c>
      <c r="C280" s="239" t="s">
        <v>230</v>
      </c>
      <c r="D280" s="241">
        <v>42219</v>
      </c>
      <c r="E280" s="248" t="s">
        <v>259</v>
      </c>
      <c r="F280" s="239">
        <v>58</v>
      </c>
      <c r="G280" s="239" t="s">
        <v>257</v>
      </c>
      <c r="H280" s="243" t="s">
        <v>254</v>
      </c>
      <c r="I280" s="239">
        <v>0</v>
      </c>
      <c r="J280" s="250"/>
      <c r="K280" s="250"/>
      <c r="L280" s="239">
        <v>0</v>
      </c>
      <c r="M280" s="239">
        <v>75.62</v>
      </c>
      <c r="N280" s="239">
        <v>75.62</v>
      </c>
      <c r="O280">
        <v>2015</v>
      </c>
      <c r="P280" s="310">
        <f t="shared" si="6"/>
        <v>8</v>
      </c>
      <c r="Q280" s="310"/>
      <c r="R280" s="248" t="s">
        <v>259</v>
      </c>
      <c r="S280" s="240" t="str">
        <f t="shared" si="7"/>
        <v>Aug</v>
      </c>
      <c r="T280" s="230" t="s">
        <v>255</v>
      </c>
    </row>
    <row r="281" spans="1:21" x14ac:dyDescent="0.25">
      <c r="A281" s="243">
        <v>8409153000</v>
      </c>
      <c r="B281" s="240" t="str">
        <f>VLOOKUP(A281,'Energy Provider Accounts'!C:F,2,FALSE)</f>
        <v>Sewer Plant Farmer's Turnpike</v>
      </c>
      <c r="C281" s="243" t="s">
        <v>230</v>
      </c>
      <c r="D281" s="244">
        <v>42278</v>
      </c>
      <c r="E281" s="248">
        <v>42219</v>
      </c>
      <c r="F281" s="243">
        <v>59</v>
      </c>
      <c r="G281" s="243" t="s">
        <v>251</v>
      </c>
      <c r="H281" s="243" t="s">
        <v>254</v>
      </c>
      <c r="I281" s="243">
        <v>0</v>
      </c>
      <c r="J281" s="250"/>
      <c r="K281" s="250"/>
      <c r="L281" s="243">
        <v>0</v>
      </c>
      <c r="M281" s="243">
        <v>75.62</v>
      </c>
      <c r="N281" s="243">
        <v>75.62</v>
      </c>
      <c r="O281">
        <v>2015</v>
      </c>
      <c r="P281" s="310">
        <f t="shared" si="6"/>
        <v>10</v>
      </c>
      <c r="Q281" s="310"/>
      <c r="R281" s="248">
        <v>42219</v>
      </c>
      <c r="S281" s="240" t="str">
        <f t="shared" si="7"/>
        <v>Oct</v>
      </c>
      <c r="T281" s="230" t="s">
        <v>255</v>
      </c>
    </row>
    <row r="282" spans="1:21" x14ac:dyDescent="0.25">
      <c r="A282" s="243">
        <v>8409153000</v>
      </c>
      <c r="B282" s="240" t="str">
        <f>VLOOKUP(A282,'Energy Provider Accounts'!C:F,2,FALSE)</f>
        <v>Sewer Plant Farmer's Turnpike</v>
      </c>
      <c r="C282" s="243" t="s">
        <v>230</v>
      </c>
      <c r="D282" s="244">
        <v>42340</v>
      </c>
      <c r="E282" s="248">
        <v>42278</v>
      </c>
      <c r="F282" s="243">
        <v>61</v>
      </c>
      <c r="G282" s="243" t="s">
        <v>257</v>
      </c>
      <c r="H282" s="243" t="s">
        <v>254</v>
      </c>
      <c r="I282" s="243">
        <v>0</v>
      </c>
      <c r="J282" s="250"/>
      <c r="K282" s="250"/>
      <c r="L282" s="243">
        <v>0</v>
      </c>
      <c r="M282" s="243">
        <v>75.62</v>
      </c>
      <c r="N282" s="243">
        <v>75.62</v>
      </c>
      <c r="O282">
        <v>2015</v>
      </c>
      <c r="P282" s="310">
        <f t="shared" si="6"/>
        <v>12</v>
      </c>
      <c r="Q282" s="310"/>
      <c r="R282" s="248">
        <v>42278</v>
      </c>
      <c r="S282" s="240" t="str">
        <f t="shared" si="7"/>
        <v>Dec</v>
      </c>
      <c r="T282" s="230" t="s">
        <v>255</v>
      </c>
    </row>
    <row r="283" spans="1:21" x14ac:dyDescent="0.25">
      <c r="A283" s="243">
        <v>8409153000</v>
      </c>
      <c r="B283" s="240" t="str">
        <f>VLOOKUP(A283,'Energy Provider Accounts'!C:F,2,FALSE)</f>
        <v>Sewer Plant Farmer's Turnpike</v>
      </c>
      <c r="C283" s="243" t="s">
        <v>230</v>
      </c>
      <c r="D283" s="244">
        <v>42403</v>
      </c>
      <c r="E283" s="248">
        <v>42340</v>
      </c>
      <c r="F283" s="243">
        <v>60</v>
      </c>
      <c r="G283" s="243" t="s">
        <v>256</v>
      </c>
      <c r="H283" s="243" t="s">
        <v>254</v>
      </c>
      <c r="I283" s="243">
        <v>0</v>
      </c>
      <c r="J283" s="243">
        <v>0</v>
      </c>
      <c r="K283" s="243">
        <v>0</v>
      </c>
      <c r="L283" s="243">
        <v>0</v>
      </c>
      <c r="M283" s="243">
        <v>70</v>
      </c>
      <c r="N283" s="243">
        <v>75.64</v>
      </c>
      <c r="O283">
        <v>2016</v>
      </c>
      <c r="P283" s="310">
        <f t="shared" si="6"/>
        <v>2</v>
      </c>
      <c r="Q283" s="310"/>
      <c r="R283" s="248">
        <v>42340</v>
      </c>
      <c r="S283" s="240" t="str">
        <f t="shared" si="7"/>
        <v>Feb</v>
      </c>
      <c r="T283" s="230" t="s">
        <v>255</v>
      </c>
    </row>
    <row r="284" spans="1:21" x14ac:dyDescent="0.25">
      <c r="A284" s="243">
        <v>8409153000</v>
      </c>
      <c r="B284" s="240" t="str">
        <f>VLOOKUP(A284,'Energy Provider Accounts'!C:F,2,FALSE)</f>
        <v>Sewer Plant Farmer's Turnpike</v>
      </c>
      <c r="C284" s="243" t="s">
        <v>230</v>
      </c>
      <c r="D284" s="244">
        <v>42459</v>
      </c>
      <c r="E284" s="244">
        <v>42399</v>
      </c>
      <c r="F284" s="243">
        <v>60</v>
      </c>
      <c r="G284" s="243" t="s">
        <v>253</v>
      </c>
      <c r="H284" s="243" t="s">
        <v>254</v>
      </c>
      <c r="I284" s="243">
        <v>1578</v>
      </c>
      <c r="J284" s="243">
        <v>0</v>
      </c>
      <c r="K284" s="243">
        <v>0</v>
      </c>
      <c r="L284" s="243">
        <v>257.27</v>
      </c>
      <c r="M284" s="243">
        <v>-31.06</v>
      </c>
      <c r="N284" s="243">
        <v>244.39</v>
      </c>
      <c r="O284">
        <v>2016</v>
      </c>
      <c r="P284" s="310">
        <f t="shared" si="6"/>
        <v>3</v>
      </c>
      <c r="Q284" s="310"/>
      <c r="R284" s="244">
        <v>42399</v>
      </c>
      <c r="S284" s="240" t="str">
        <f t="shared" si="7"/>
        <v>Mar</v>
      </c>
      <c r="T284" s="230" t="s">
        <v>255</v>
      </c>
    </row>
    <row r="285" spans="1:21" x14ac:dyDescent="0.25">
      <c r="A285" s="243">
        <v>8409153000</v>
      </c>
      <c r="B285" s="240" t="str">
        <f>VLOOKUP(A285,'Energy Provider Accounts'!C:F,2,FALSE)</f>
        <v>Sewer Plant Farmer's Turnpike</v>
      </c>
      <c r="C285" s="243" t="s">
        <v>230</v>
      </c>
      <c r="D285" s="244">
        <v>42517</v>
      </c>
      <c r="E285" s="244">
        <v>42457</v>
      </c>
      <c r="F285" s="243">
        <v>60</v>
      </c>
      <c r="G285" s="243" t="s">
        <v>253</v>
      </c>
      <c r="H285" s="243" t="s">
        <v>254</v>
      </c>
      <c r="I285" s="243">
        <v>359</v>
      </c>
      <c r="J285" s="243">
        <v>0</v>
      </c>
      <c r="K285" s="243">
        <v>0</v>
      </c>
      <c r="L285" s="243">
        <v>47.66</v>
      </c>
      <c r="M285" s="243">
        <v>52.21</v>
      </c>
      <c r="N285" s="243">
        <v>107.89</v>
      </c>
      <c r="O285">
        <v>2016</v>
      </c>
      <c r="P285" s="310">
        <f t="shared" si="6"/>
        <v>5</v>
      </c>
      <c r="Q285" s="310"/>
      <c r="R285" s="244">
        <v>42457</v>
      </c>
      <c r="S285" s="240" t="str">
        <f t="shared" si="7"/>
        <v>May</v>
      </c>
      <c r="T285" s="230" t="s">
        <v>255</v>
      </c>
    </row>
    <row r="286" spans="1:21" x14ac:dyDescent="0.25">
      <c r="A286" s="243">
        <v>8409153000</v>
      </c>
      <c r="B286" s="240" t="str">
        <f>VLOOKUP(A286,'Energy Provider Accounts'!C:F,2,FALSE)</f>
        <v>Sewer Plant Farmer's Turnpike</v>
      </c>
      <c r="C286" s="243" t="s">
        <v>230</v>
      </c>
      <c r="D286" s="244">
        <v>42552</v>
      </c>
      <c r="E286" s="244">
        <v>42522</v>
      </c>
      <c r="F286" s="243">
        <v>30</v>
      </c>
      <c r="G286" s="243" t="s">
        <v>256</v>
      </c>
      <c r="H286" s="243" t="s">
        <v>254</v>
      </c>
      <c r="I286" s="243">
        <v>455</v>
      </c>
      <c r="J286" s="243">
        <v>0</v>
      </c>
      <c r="K286" s="243">
        <v>0</v>
      </c>
      <c r="L286" s="243">
        <v>57.25</v>
      </c>
      <c r="M286" s="243">
        <v>13.74</v>
      </c>
      <c r="N286" s="243">
        <v>76.69</v>
      </c>
      <c r="O286">
        <v>2016</v>
      </c>
      <c r="P286" s="310">
        <f t="shared" si="6"/>
        <v>7</v>
      </c>
      <c r="Q286" s="310"/>
      <c r="R286" s="244">
        <v>42522</v>
      </c>
      <c r="S286" s="240" t="str">
        <f t="shared" si="7"/>
        <v>Jul</v>
      </c>
      <c r="T286" s="230" t="s">
        <v>255</v>
      </c>
    </row>
    <row r="287" spans="1:21" x14ac:dyDescent="0.25">
      <c r="A287" s="243">
        <v>8409153000</v>
      </c>
      <c r="B287" s="240" t="str">
        <f>VLOOKUP(A287,'Energy Provider Accounts'!C:F,2,FALSE)</f>
        <v>Sewer Plant Farmer's Turnpike</v>
      </c>
      <c r="C287" s="243" t="s">
        <v>230</v>
      </c>
      <c r="D287" s="244">
        <v>42584</v>
      </c>
      <c r="E287" s="244">
        <v>42518</v>
      </c>
      <c r="F287" s="243">
        <v>66</v>
      </c>
      <c r="G287" s="243" t="s">
        <v>253</v>
      </c>
      <c r="H287" s="243" t="s">
        <v>254</v>
      </c>
      <c r="I287" s="243">
        <v>1</v>
      </c>
      <c r="J287" s="243">
        <v>0</v>
      </c>
      <c r="K287" s="243">
        <v>0</v>
      </c>
      <c r="L287" s="243">
        <v>0.11</v>
      </c>
      <c r="M287" s="243">
        <v>76.959999999999994</v>
      </c>
      <c r="N287" s="243">
        <v>83.27</v>
      </c>
      <c r="O287">
        <v>2016</v>
      </c>
      <c r="P287" s="310">
        <f t="shared" si="6"/>
        <v>8</v>
      </c>
      <c r="Q287" s="310"/>
      <c r="R287" s="244">
        <v>42518</v>
      </c>
      <c r="S287" s="240" t="str">
        <f t="shared" si="7"/>
        <v>Aug</v>
      </c>
      <c r="T287" s="230" t="s">
        <v>255</v>
      </c>
    </row>
    <row r="288" spans="1:21" x14ac:dyDescent="0.25">
      <c r="A288" s="243">
        <v>8409153000</v>
      </c>
      <c r="B288" s="240" t="str">
        <f>VLOOKUP(A288,'Energy Provider Accounts'!C:F,2,FALSE)</f>
        <v>Sewer Plant Farmer's Turnpike</v>
      </c>
      <c r="C288" s="243" t="s">
        <v>230</v>
      </c>
      <c r="D288" s="244">
        <v>42613</v>
      </c>
      <c r="E288" s="244">
        <v>42583</v>
      </c>
      <c r="F288" s="243">
        <v>30</v>
      </c>
      <c r="G288" s="243" t="s">
        <v>256</v>
      </c>
      <c r="H288" s="243" t="s">
        <v>254</v>
      </c>
      <c r="I288" s="243">
        <v>82</v>
      </c>
      <c r="J288" s="243">
        <v>0</v>
      </c>
      <c r="K288" s="243">
        <v>0</v>
      </c>
      <c r="L288" s="243">
        <v>12.6</v>
      </c>
      <c r="M288" s="243">
        <v>30.86</v>
      </c>
      <c r="N288" s="243">
        <v>46.95</v>
      </c>
      <c r="O288">
        <v>2016</v>
      </c>
      <c r="P288" s="310">
        <f t="shared" si="6"/>
        <v>8</v>
      </c>
      <c r="Q288" s="310"/>
      <c r="R288" s="244">
        <v>42583</v>
      </c>
      <c r="S288" s="240" t="str">
        <f t="shared" si="7"/>
        <v>Aug</v>
      </c>
      <c r="T288" s="230" t="s">
        <v>255</v>
      </c>
    </row>
    <row r="289" spans="1:21" x14ac:dyDescent="0.25">
      <c r="A289" s="243">
        <v>8409153000</v>
      </c>
      <c r="B289" s="240" t="str">
        <f>VLOOKUP(A289,'Energy Provider Accounts'!C:F,2,FALSE)</f>
        <v>Sewer Plant Farmer's Turnpike</v>
      </c>
      <c r="C289" s="243" t="s">
        <v>230</v>
      </c>
      <c r="D289" s="244">
        <v>42646</v>
      </c>
      <c r="E289" s="244">
        <v>42586</v>
      </c>
      <c r="F289" s="243">
        <v>60</v>
      </c>
      <c r="G289" s="243" t="s">
        <v>253</v>
      </c>
      <c r="H289" s="243" t="s">
        <v>254</v>
      </c>
      <c r="I289" s="243">
        <v>1</v>
      </c>
      <c r="J289" s="243">
        <v>0</v>
      </c>
      <c r="K289" s="243">
        <v>0</v>
      </c>
      <c r="L289" s="243">
        <v>0.13</v>
      </c>
      <c r="M289" s="243">
        <v>69.95</v>
      </c>
      <c r="N289" s="243">
        <v>75.709999999999994</v>
      </c>
      <c r="O289">
        <v>2016</v>
      </c>
      <c r="P289" s="310">
        <f t="shared" si="6"/>
        <v>10</v>
      </c>
      <c r="Q289" s="310"/>
      <c r="R289" s="244">
        <v>42586</v>
      </c>
      <c r="S289" s="240" t="str">
        <f t="shared" si="7"/>
        <v>Oct</v>
      </c>
      <c r="T289" s="230" t="s">
        <v>255</v>
      </c>
    </row>
    <row r="290" spans="1:21" x14ac:dyDescent="0.25">
      <c r="A290" s="243">
        <v>8409153000</v>
      </c>
      <c r="B290" s="240" t="str">
        <f>VLOOKUP(A290,'Energy Provider Accounts'!C:F,2,FALSE)</f>
        <v>Sewer Plant Farmer's Turnpike</v>
      </c>
      <c r="C290" s="243" t="s">
        <v>230</v>
      </c>
      <c r="D290" s="244">
        <v>42674</v>
      </c>
      <c r="E290" s="244">
        <v>42644</v>
      </c>
      <c r="F290" s="243">
        <v>30</v>
      </c>
      <c r="G290" s="243" t="s">
        <v>256</v>
      </c>
      <c r="H290" s="243" t="s">
        <v>254</v>
      </c>
      <c r="I290" s="243">
        <v>0</v>
      </c>
      <c r="J290" s="243">
        <v>0</v>
      </c>
      <c r="K290" s="243">
        <v>0</v>
      </c>
      <c r="L290" s="243">
        <v>0</v>
      </c>
      <c r="M290" s="243">
        <v>35</v>
      </c>
      <c r="N290" s="243">
        <v>37.81</v>
      </c>
      <c r="O290">
        <v>2016</v>
      </c>
      <c r="P290" s="310">
        <f t="shared" si="6"/>
        <v>10</v>
      </c>
      <c r="Q290" s="310"/>
      <c r="R290" s="244">
        <v>42644</v>
      </c>
      <c r="S290" s="240" t="str">
        <f t="shared" si="7"/>
        <v>Oct</v>
      </c>
      <c r="T290" s="230" t="s">
        <v>255</v>
      </c>
    </row>
    <row r="291" spans="1:21" x14ac:dyDescent="0.25">
      <c r="A291" s="243">
        <v>8409153000</v>
      </c>
      <c r="B291" s="240" t="str">
        <f>VLOOKUP(A291,'Energy Provider Accounts'!C:F,2,FALSE)</f>
        <v>Sewer Plant Farmer's Turnpike</v>
      </c>
      <c r="C291" s="243" t="s">
        <v>230</v>
      </c>
      <c r="D291" s="244">
        <v>42705</v>
      </c>
      <c r="E291" s="244">
        <v>42675</v>
      </c>
      <c r="F291" s="243">
        <v>30</v>
      </c>
      <c r="G291" s="243" t="s">
        <v>253</v>
      </c>
      <c r="H291" s="243" t="s">
        <v>254</v>
      </c>
      <c r="I291" s="243">
        <v>1140</v>
      </c>
      <c r="J291" s="243">
        <v>0</v>
      </c>
      <c r="K291" s="243">
        <v>0</v>
      </c>
      <c r="L291" s="243">
        <v>162.49</v>
      </c>
      <c r="M291" s="243">
        <v>-15.97</v>
      </c>
      <c r="N291" s="243">
        <v>158.28</v>
      </c>
      <c r="O291">
        <v>2016</v>
      </c>
      <c r="P291" s="310">
        <f t="shared" si="6"/>
        <v>12</v>
      </c>
      <c r="Q291" s="310"/>
      <c r="R291" s="244">
        <v>42675</v>
      </c>
      <c r="S291" s="240" t="str">
        <f t="shared" si="7"/>
        <v>Dec</v>
      </c>
      <c r="T291" s="230" t="s">
        <v>255</v>
      </c>
    </row>
    <row r="292" spans="1:21" x14ac:dyDescent="0.25">
      <c r="A292" s="243">
        <v>8409153000</v>
      </c>
      <c r="B292" s="240" t="str">
        <f>VLOOKUP(A292,'Energy Provider Accounts'!C:F,2,FALSE)</f>
        <v>Sewer Plant Farmer's Turnpike</v>
      </c>
      <c r="C292" s="243" t="s">
        <v>230</v>
      </c>
      <c r="D292" s="244">
        <v>42739</v>
      </c>
      <c r="E292" s="244">
        <v>42709</v>
      </c>
      <c r="F292" s="243">
        <v>30</v>
      </c>
      <c r="G292" s="243" t="s">
        <v>256</v>
      </c>
      <c r="H292" s="243" t="s">
        <v>254</v>
      </c>
      <c r="I292" s="243">
        <v>323</v>
      </c>
      <c r="J292" s="243">
        <v>0</v>
      </c>
      <c r="K292" s="243">
        <v>0</v>
      </c>
      <c r="L292" s="243">
        <v>36.68</v>
      </c>
      <c r="M292" s="243">
        <v>25.08</v>
      </c>
      <c r="N292" s="243">
        <v>66.72</v>
      </c>
      <c r="O292">
        <v>2017</v>
      </c>
      <c r="P292" s="310">
        <f t="shared" si="6"/>
        <v>1</v>
      </c>
      <c r="Q292" s="310"/>
      <c r="R292" s="244">
        <v>42709</v>
      </c>
      <c r="S292" s="240" t="str">
        <f t="shared" si="7"/>
        <v>Jan</v>
      </c>
      <c r="T292" s="230" t="s">
        <v>255</v>
      </c>
    </row>
    <row r="293" spans="1:21" x14ac:dyDescent="0.25">
      <c r="A293" s="243">
        <v>8409153000</v>
      </c>
      <c r="B293" s="240" t="str">
        <f>VLOOKUP(A293,'Energy Provider Accounts'!C:F,2,FALSE)</f>
        <v>Sewer Plant Farmer's Turnpike</v>
      </c>
      <c r="C293" s="243" t="s">
        <v>230</v>
      </c>
      <c r="D293" s="244">
        <v>42767</v>
      </c>
      <c r="E293" s="244">
        <v>42737</v>
      </c>
      <c r="F293" s="243">
        <v>30</v>
      </c>
      <c r="G293" s="243" t="s">
        <v>253</v>
      </c>
      <c r="H293" s="243" t="s">
        <v>254</v>
      </c>
      <c r="I293" s="243">
        <v>1875</v>
      </c>
      <c r="J293" s="243">
        <v>0</v>
      </c>
      <c r="K293" s="243">
        <v>0</v>
      </c>
      <c r="L293" s="243">
        <v>260.55</v>
      </c>
      <c r="M293" s="243">
        <v>-61.98</v>
      </c>
      <c r="N293" s="243">
        <v>214.55</v>
      </c>
      <c r="O293">
        <v>2017</v>
      </c>
      <c r="P293" s="310">
        <f t="shared" si="6"/>
        <v>2</v>
      </c>
      <c r="Q293" s="310"/>
      <c r="R293" s="244">
        <v>42737</v>
      </c>
      <c r="S293" s="240" t="str">
        <f t="shared" si="7"/>
        <v>Feb</v>
      </c>
      <c r="T293" s="230" t="s">
        <v>252</v>
      </c>
    </row>
    <row r="294" spans="1:21" x14ac:dyDescent="0.25">
      <c r="A294" s="243">
        <v>8409153000</v>
      </c>
      <c r="B294" s="240" t="str">
        <f>VLOOKUP(A294,'Energy Provider Accounts'!C:F,2,FALSE)</f>
        <v>Sewer Plant Farmer's Turnpike</v>
      </c>
      <c r="C294" s="243" t="s">
        <v>230</v>
      </c>
      <c r="D294" s="244">
        <v>42797</v>
      </c>
      <c r="E294" s="244">
        <v>42767</v>
      </c>
      <c r="F294" s="243">
        <v>30</v>
      </c>
      <c r="G294" s="243" t="s">
        <v>256</v>
      </c>
      <c r="H294" s="243" t="s">
        <v>254</v>
      </c>
      <c r="I294" s="243">
        <v>834</v>
      </c>
      <c r="J294" s="243">
        <v>0</v>
      </c>
      <c r="K294" s="243">
        <v>0</v>
      </c>
      <c r="L294" s="243">
        <v>123.12</v>
      </c>
      <c r="M294" s="243">
        <v>-11.43</v>
      </c>
      <c r="N294" s="243">
        <v>120.68</v>
      </c>
      <c r="O294">
        <v>2017</v>
      </c>
      <c r="P294" s="310">
        <f t="shared" si="6"/>
        <v>3</v>
      </c>
      <c r="Q294" s="310"/>
      <c r="R294" s="244">
        <v>42767</v>
      </c>
      <c r="S294" s="240" t="str">
        <f t="shared" si="7"/>
        <v>Mar</v>
      </c>
      <c r="T294" s="230" t="s">
        <v>252</v>
      </c>
    </row>
    <row r="295" spans="1:21" x14ac:dyDescent="0.25">
      <c r="A295" s="243">
        <v>8409153000</v>
      </c>
      <c r="B295" s="240" t="str">
        <f>VLOOKUP(A295,'Energy Provider Accounts'!C:F,2,FALSE)</f>
        <v>Sewer Plant Farmer's Turnpike</v>
      </c>
      <c r="C295" s="243" t="s">
        <v>230</v>
      </c>
      <c r="D295" s="244">
        <v>42825</v>
      </c>
      <c r="E295" s="244">
        <v>42795</v>
      </c>
      <c r="F295" s="243">
        <v>30</v>
      </c>
      <c r="G295" s="243" t="s">
        <v>253</v>
      </c>
      <c r="H295" s="243" t="s">
        <v>254</v>
      </c>
      <c r="I295" s="243">
        <v>1186</v>
      </c>
      <c r="J295" s="243">
        <v>0</v>
      </c>
      <c r="K295" s="243">
        <v>0</v>
      </c>
      <c r="L295" s="243">
        <v>136.41999999999999</v>
      </c>
      <c r="M295" s="243">
        <v>-10.83</v>
      </c>
      <c r="N295" s="243">
        <v>135.69999999999999</v>
      </c>
      <c r="O295">
        <v>2017</v>
      </c>
      <c r="P295" s="310">
        <f t="shared" si="6"/>
        <v>3</v>
      </c>
      <c r="Q295" s="310"/>
      <c r="R295" s="244">
        <v>42795</v>
      </c>
      <c r="S295" s="240" t="str">
        <f t="shared" si="7"/>
        <v>Mar</v>
      </c>
      <c r="T295" s="230" t="s">
        <v>252</v>
      </c>
    </row>
    <row r="296" spans="1:21" x14ac:dyDescent="0.25">
      <c r="A296" s="243">
        <v>8409153000</v>
      </c>
      <c r="B296" s="240" t="str">
        <f>VLOOKUP(A296,'Energy Provider Accounts'!C:F,2,FALSE)</f>
        <v>Sewer Plant Farmer's Turnpike</v>
      </c>
      <c r="C296" s="243" t="s">
        <v>230</v>
      </c>
      <c r="D296" s="244">
        <v>42857</v>
      </c>
      <c r="E296" s="244">
        <v>42827</v>
      </c>
      <c r="F296" s="243">
        <v>30</v>
      </c>
      <c r="G296" s="243" t="s">
        <v>256</v>
      </c>
      <c r="H296" s="243" t="s">
        <v>254</v>
      </c>
      <c r="I296" s="243">
        <v>191</v>
      </c>
      <c r="J296" s="243">
        <v>0</v>
      </c>
      <c r="K296" s="243">
        <v>0</v>
      </c>
      <c r="L296" s="243">
        <v>30.84</v>
      </c>
      <c r="M296" s="243">
        <v>23.02</v>
      </c>
      <c r="N296" s="243">
        <v>58.2</v>
      </c>
      <c r="O296">
        <v>2017</v>
      </c>
      <c r="P296" s="310">
        <f t="shared" si="6"/>
        <v>5</v>
      </c>
      <c r="Q296" s="310"/>
      <c r="R296" s="244">
        <v>42827</v>
      </c>
      <c r="S296" s="240" t="str">
        <f t="shared" si="7"/>
        <v>May</v>
      </c>
      <c r="T296" s="230" t="s">
        <v>252</v>
      </c>
    </row>
    <row r="297" spans="1:21" x14ac:dyDescent="0.25">
      <c r="A297" s="243">
        <v>8409153000</v>
      </c>
      <c r="B297" s="240" t="str">
        <f>VLOOKUP(A297,'Energy Provider Accounts'!C:F,2,FALSE)</f>
        <v>Sewer Plant Farmer's Turnpike</v>
      </c>
      <c r="C297" s="243" t="s">
        <v>230</v>
      </c>
      <c r="D297" s="244">
        <v>42888</v>
      </c>
      <c r="E297" s="244">
        <v>42858</v>
      </c>
      <c r="F297" s="243">
        <v>30</v>
      </c>
      <c r="G297" s="243" t="s">
        <v>253</v>
      </c>
      <c r="H297" s="243" t="s">
        <v>254</v>
      </c>
      <c r="I297" s="243">
        <v>143</v>
      </c>
      <c r="J297" s="243">
        <v>0</v>
      </c>
      <c r="K297" s="243">
        <v>0</v>
      </c>
      <c r="L297" s="243">
        <v>24.4</v>
      </c>
      <c r="M297" s="243">
        <v>25.39</v>
      </c>
      <c r="N297" s="243">
        <v>53.79</v>
      </c>
      <c r="O297">
        <v>2017</v>
      </c>
      <c r="P297" s="310">
        <f t="shared" si="6"/>
        <v>6</v>
      </c>
      <c r="Q297" s="310"/>
      <c r="R297" s="244">
        <v>42858</v>
      </c>
      <c r="S297" s="240" t="str">
        <f t="shared" si="7"/>
        <v>Jun</v>
      </c>
      <c r="T297" s="230" t="s">
        <v>252</v>
      </c>
    </row>
    <row r="298" spans="1:21" x14ac:dyDescent="0.25">
      <c r="A298" s="243">
        <v>8409153000</v>
      </c>
      <c r="B298" s="240" t="str">
        <f>VLOOKUP(A298,'Energy Provider Accounts'!C:F,2,FALSE)</f>
        <v>Sewer Plant Farmer's Turnpike</v>
      </c>
      <c r="C298" s="243" t="s">
        <v>230</v>
      </c>
      <c r="D298" s="244">
        <v>42916</v>
      </c>
      <c r="E298" s="244">
        <v>42886</v>
      </c>
      <c r="F298" s="243">
        <v>30</v>
      </c>
      <c r="G298" s="243" t="s">
        <v>256</v>
      </c>
      <c r="H298" s="243" t="s">
        <v>254</v>
      </c>
      <c r="I298" s="243">
        <v>0</v>
      </c>
      <c r="J298" s="243">
        <v>0</v>
      </c>
      <c r="K298" s="243">
        <v>0</v>
      </c>
      <c r="L298" s="243">
        <v>0</v>
      </c>
      <c r="M298" s="243">
        <v>35</v>
      </c>
      <c r="N298" s="243">
        <v>37.81</v>
      </c>
      <c r="O298">
        <v>2017</v>
      </c>
      <c r="P298" s="310">
        <f t="shared" ref="P298:P386" si="8">MONTH(D298)</f>
        <v>6</v>
      </c>
      <c r="Q298" s="310"/>
      <c r="R298" s="244">
        <v>42886</v>
      </c>
      <c r="S298" s="240" t="str">
        <f t="shared" si="7"/>
        <v>Jun</v>
      </c>
      <c r="T298" s="230" t="s">
        <v>252</v>
      </c>
    </row>
    <row r="299" spans="1:21" x14ac:dyDescent="0.25">
      <c r="A299" s="243">
        <v>8409153000</v>
      </c>
      <c r="B299" s="240" t="str">
        <f>VLOOKUP(A299,'Energy Provider Accounts'!C:F,2,FALSE)</f>
        <v>Sewer Plant Farmer's Turnpike</v>
      </c>
      <c r="C299" s="243" t="s">
        <v>230</v>
      </c>
      <c r="D299" s="244">
        <v>42948</v>
      </c>
      <c r="E299" s="244">
        <v>42918</v>
      </c>
      <c r="F299" s="243">
        <v>30</v>
      </c>
      <c r="G299" s="243" t="s">
        <v>253</v>
      </c>
      <c r="H299" s="243" t="s">
        <v>254</v>
      </c>
      <c r="I299" s="243">
        <v>1</v>
      </c>
      <c r="J299" s="243">
        <v>0</v>
      </c>
      <c r="K299" s="243">
        <v>0</v>
      </c>
      <c r="L299" s="243">
        <v>0.13</v>
      </c>
      <c r="M299" s="243">
        <v>34.97</v>
      </c>
      <c r="N299" s="243">
        <v>37.92</v>
      </c>
      <c r="O299">
        <v>2017</v>
      </c>
      <c r="P299" s="310">
        <f t="shared" si="8"/>
        <v>8</v>
      </c>
      <c r="Q299" s="310"/>
      <c r="R299" s="244">
        <v>42918</v>
      </c>
      <c r="S299" s="240" t="str">
        <f t="shared" ref="S299:S387" si="9">CHOOSE(P299,"Jan","Feb","Mar","Apr","May","Jun","Jul","Aug","Sep","Oct","Nov","Dec")</f>
        <v>Aug</v>
      </c>
      <c r="T299" s="230" t="s">
        <v>252</v>
      </c>
    </row>
    <row r="300" spans="1:21" x14ac:dyDescent="0.25">
      <c r="A300" s="243">
        <v>8409153000</v>
      </c>
      <c r="B300" s="240" t="str">
        <f>VLOOKUP(A300,'Energy Provider Accounts'!C:F,2,FALSE)</f>
        <v>Sewer Plant Farmer's Turnpike</v>
      </c>
      <c r="C300" s="243" t="s">
        <v>230</v>
      </c>
      <c r="D300" s="244">
        <v>42977</v>
      </c>
      <c r="E300" s="244">
        <v>42947</v>
      </c>
      <c r="F300" s="243">
        <v>30</v>
      </c>
      <c r="G300" s="243" t="s">
        <v>256</v>
      </c>
      <c r="H300" s="243" t="s">
        <v>254</v>
      </c>
      <c r="I300" s="243">
        <v>0</v>
      </c>
      <c r="J300" s="243">
        <v>0</v>
      </c>
      <c r="K300" s="243">
        <v>0</v>
      </c>
      <c r="L300" s="243">
        <v>0</v>
      </c>
      <c r="M300" s="243">
        <v>35</v>
      </c>
      <c r="N300" s="243">
        <v>37.81</v>
      </c>
      <c r="O300">
        <v>2017</v>
      </c>
      <c r="P300" s="310">
        <f t="shared" si="8"/>
        <v>8</v>
      </c>
      <c r="Q300" s="310"/>
      <c r="R300" s="244">
        <v>42947</v>
      </c>
      <c r="S300" s="240" t="str">
        <f t="shared" si="9"/>
        <v>Aug</v>
      </c>
      <c r="T300" s="231" t="s">
        <v>252</v>
      </c>
    </row>
    <row r="301" spans="1:21" x14ac:dyDescent="0.25">
      <c r="A301" s="243">
        <v>8409153000</v>
      </c>
      <c r="B301" s="240" t="str">
        <f>VLOOKUP(A301,'Energy Provider Accounts'!C:F,2,FALSE)</f>
        <v>Sewer Plant Farmer's Turnpike</v>
      </c>
      <c r="C301" s="243" t="s">
        <v>230</v>
      </c>
      <c r="D301" s="244">
        <v>43010</v>
      </c>
      <c r="E301" s="244">
        <v>42980</v>
      </c>
      <c r="F301" s="243">
        <v>30</v>
      </c>
      <c r="G301" s="243" t="s">
        <v>253</v>
      </c>
      <c r="H301" s="243" t="s">
        <v>254</v>
      </c>
      <c r="I301" s="243">
        <v>1</v>
      </c>
      <c r="J301" s="243">
        <v>0</v>
      </c>
      <c r="K301" s="243">
        <v>0</v>
      </c>
      <c r="L301" s="243">
        <v>0.11</v>
      </c>
      <c r="M301" s="243">
        <v>34.979999999999997</v>
      </c>
      <c r="N301" s="243">
        <v>37.909999999999997</v>
      </c>
      <c r="O301">
        <v>2017</v>
      </c>
      <c r="P301" s="310">
        <f t="shared" si="8"/>
        <v>10</v>
      </c>
      <c r="Q301" s="310"/>
      <c r="R301" s="244">
        <v>42980</v>
      </c>
      <c r="S301" s="240" t="str">
        <f t="shared" si="9"/>
        <v>Oct</v>
      </c>
      <c r="T301" s="230" t="s">
        <v>252</v>
      </c>
    </row>
    <row r="302" spans="1:21" x14ac:dyDescent="0.25">
      <c r="A302" s="243">
        <v>8409153000</v>
      </c>
      <c r="B302" s="240" t="str">
        <f>VLOOKUP(A302,'Energy Provider Accounts'!C:F,2,FALSE)</f>
        <v>Sewer Plant Farmer's Turnpike</v>
      </c>
      <c r="C302" s="243" t="s">
        <v>230</v>
      </c>
      <c r="D302" s="244">
        <v>43038</v>
      </c>
      <c r="E302" s="244">
        <v>43008</v>
      </c>
      <c r="F302" s="243">
        <v>30</v>
      </c>
      <c r="G302" s="243" t="s">
        <v>256</v>
      </c>
      <c r="H302" s="243" t="s">
        <v>254</v>
      </c>
      <c r="I302" s="243">
        <v>532</v>
      </c>
      <c r="J302" s="243">
        <v>0</v>
      </c>
      <c r="K302" s="243">
        <v>0</v>
      </c>
      <c r="L302" s="243">
        <v>66.819999999999993</v>
      </c>
      <c r="M302" s="243">
        <v>20.420000000000002</v>
      </c>
      <c r="N302" s="243">
        <v>94.25</v>
      </c>
      <c r="O302">
        <v>2017</v>
      </c>
      <c r="P302" s="310">
        <f t="shared" si="8"/>
        <v>10</v>
      </c>
      <c r="Q302" s="310"/>
      <c r="R302" s="244">
        <v>43008</v>
      </c>
      <c r="S302" s="240" t="str">
        <f t="shared" si="9"/>
        <v>Oct</v>
      </c>
      <c r="T302" s="230" t="s">
        <v>252</v>
      </c>
    </row>
    <row r="303" spans="1:21" x14ac:dyDescent="0.25">
      <c r="A303" s="243">
        <v>8409153000</v>
      </c>
      <c r="B303" s="240" t="str">
        <f>VLOOKUP(A303,'Energy Provider Accounts'!C:F,2,FALSE)</f>
        <v>Sewer Plant Farmer's Turnpike</v>
      </c>
      <c r="C303" s="243" t="s">
        <v>230</v>
      </c>
      <c r="D303" s="244">
        <v>43069</v>
      </c>
      <c r="E303" s="244">
        <v>43039</v>
      </c>
      <c r="F303" s="243">
        <v>30</v>
      </c>
      <c r="G303" s="243" t="s">
        <v>253</v>
      </c>
      <c r="H303" s="243" t="s">
        <v>254</v>
      </c>
      <c r="I303" s="243">
        <v>236</v>
      </c>
      <c r="J303" s="243">
        <v>0</v>
      </c>
      <c r="K303" s="243">
        <v>0</v>
      </c>
      <c r="L303" s="243">
        <v>32.380000000000003</v>
      </c>
      <c r="M303" s="243">
        <v>27.22</v>
      </c>
      <c r="N303" s="243">
        <v>64.39</v>
      </c>
      <c r="O303">
        <v>2017</v>
      </c>
      <c r="P303" s="310">
        <f t="shared" si="8"/>
        <v>11</v>
      </c>
      <c r="Q303" s="310"/>
      <c r="R303" s="244">
        <v>43039</v>
      </c>
      <c r="S303" s="240" t="str">
        <f t="shared" si="9"/>
        <v>Nov</v>
      </c>
      <c r="T303" s="230" t="s">
        <v>252</v>
      </c>
    </row>
    <row r="304" spans="1:21" x14ac:dyDescent="0.25">
      <c r="A304" s="243">
        <v>8409153000</v>
      </c>
      <c r="B304" s="240" t="str">
        <f>VLOOKUP(A304,'Energy Provider Accounts'!C:F,2,FALSE)</f>
        <v>Sewer Plant Farmer's Turnpike</v>
      </c>
      <c r="C304" s="243" t="s">
        <v>230</v>
      </c>
      <c r="D304" s="332">
        <v>43103</v>
      </c>
      <c r="E304" s="332">
        <v>43434</v>
      </c>
      <c r="F304" s="333">
        <v>35</v>
      </c>
      <c r="G304" s="333" t="s">
        <v>256</v>
      </c>
      <c r="H304" s="333" t="s">
        <v>254</v>
      </c>
      <c r="I304" s="333">
        <v>1245</v>
      </c>
      <c r="J304" s="333"/>
      <c r="K304" s="333"/>
      <c r="L304" s="334"/>
      <c r="M304" s="333"/>
      <c r="N304" s="334">
        <v>224.1</v>
      </c>
      <c r="O304" s="335">
        <v>2018</v>
      </c>
      <c r="P304" s="336">
        <v>12</v>
      </c>
      <c r="Q304" s="336"/>
      <c r="R304" s="332">
        <v>43069</v>
      </c>
      <c r="S304" s="337" t="s">
        <v>92</v>
      </c>
      <c r="T304" s="338" t="s">
        <v>252</v>
      </c>
      <c r="U304" t="s">
        <v>274</v>
      </c>
    </row>
    <row r="305" spans="1:21" x14ac:dyDescent="0.25">
      <c r="A305" s="243">
        <v>8409153000</v>
      </c>
      <c r="B305" s="240" t="str">
        <f>VLOOKUP(A305,'Energy Provider Accounts'!C:F,2,FALSE)</f>
        <v>Sewer Plant Farmer's Turnpike</v>
      </c>
      <c r="C305" s="243" t="s">
        <v>230</v>
      </c>
      <c r="D305" s="332">
        <v>43132</v>
      </c>
      <c r="E305" s="332">
        <v>43103</v>
      </c>
      <c r="F305" s="333">
        <v>33</v>
      </c>
      <c r="G305" s="333" t="s">
        <v>256</v>
      </c>
      <c r="H305" s="333" t="s">
        <v>254</v>
      </c>
      <c r="I305" s="333">
        <v>969</v>
      </c>
      <c r="J305" s="333"/>
      <c r="K305" s="333"/>
      <c r="L305" s="333"/>
      <c r="M305" s="333"/>
      <c r="N305" s="333">
        <v>174.42</v>
      </c>
      <c r="O305" s="335">
        <v>2018</v>
      </c>
      <c r="P305" s="336">
        <v>1</v>
      </c>
      <c r="Q305" s="336"/>
      <c r="R305" s="332">
        <v>43103</v>
      </c>
      <c r="S305" s="337" t="str">
        <f t="shared" si="9"/>
        <v>Jan</v>
      </c>
      <c r="T305" s="338" t="s">
        <v>252</v>
      </c>
      <c r="U305" t="s">
        <v>274</v>
      </c>
    </row>
    <row r="306" spans="1:21" x14ac:dyDescent="0.25">
      <c r="A306" s="243">
        <v>8409153000</v>
      </c>
      <c r="B306" s="240" t="str">
        <f>VLOOKUP(A306,'Energy Provider Accounts'!C:F,2,FALSE)</f>
        <v>Sewer Plant Farmer's Turnpike</v>
      </c>
      <c r="C306" s="243" t="s">
        <v>230</v>
      </c>
      <c r="D306" s="244">
        <v>43161</v>
      </c>
      <c r="E306" s="244">
        <v>43132</v>
      </c>
      <c r="F306" s="243">
        <v>30</v>
      </c>
      <c r="G306" s="243" t="s">
        <v>256</v>
      </c>
      <c r="H306" s="243" t="s">
        <v>254</v>
      </c>
      <c r="I306" s="243">
        <v>976</v>
      </c>
      <c r="J306" s="243"/>
      <c r="K306" s="243"/>
      <c r="L306" s="243">
        <v>114.72</v>
      </c>
      <c r="M306" s="249">
        <v>69</v>
      </c>
      <c r="N306" s="243">
        <v>183.72</v>
      </c>
      <c r="O306" s="318">
        <v>2018</v>
      </c>
      <c r="P306" s="310">
        <v>2</v>
      </c>
      <c r="Q306" s="310"/>
      <c r="R306" s="244">
        <v>43132</v>
      </c>
      <c r="S306" s="240" t="s">
        <v>82</v>
      </c>
      <c r="T306" s="230" t="s">
        <v>252</v>
      </c>
    </row>
    <row r="307" spans="1:21" x14ac:dyDescent="0.25">
      <c r="A307" s="243">
        <v>8409153000</v>
      </c>
      <c r="B307" s="240" t="str">
        <f>VLOOKUP(A307,'Energy Provider Accounts'!C:F,2,FALSE)</f>
        <v>Sewer Plant Farmer's Turnpike</v>
      </c>
      <c r="C307" s="243" t="s">
        <v>230</v>
      </c>
      <c r="D307" s="332">
        <v>43192</v>
      </c>
      <c r="E307" s="332">
        <v>43161</v>
      </c>
      <c r="F307" s="333">
        <v>33</v>
      </c>
      <c r="G307" s="333" t="s">
        <v>256</v>
      </c>
      <c r="H307" s="333" t="s">
        <v>254</v>
      </c>
      <c r="I307" s="333">
        <v>856</v>
      </c>
      <c r="J307" s="333"/>
      <c r="K307" s="333"/>
      <c r="L307" s="333"/>
      <c r="M307" s="333"/>
      <c r="N307" s="333">
        <v>154.08000000000001</v>
      </c>
      <c r="O307" s="333">
        <v>2018</v>
      </c>
      <c r="P307" s="336">
        <v>3</v>
      </c>
      <c r="Q307" s="336"/>
      <c r="R307" s="332">
        <v>43161</v>
      </c>
      <c r="S307" s="339" t="s">
        <v>83</v>
      </c>
      <c r="T307" s="338" t="s">
        <v>252</v>
      </c>
      <c r="U307" t="s">
        <v>274</v>
      </c>
    </row>
    <row r="308" spans="1:21" x14ac:dyDescent="0.25">
      <c r="A308" s="243">
        <v>8409153000</v>
      </c>
      <c r="B308" s="240" t="str">
        <f>VLOOKUP(A308,'Energy Provider Accounts'!C:F,2,FALSE)</f>
        <v>Sewer Plant Farmer's Turnpike</v>
      </c>
      <c r="C308" s="243" t="s">
        <v>230</v>
      </c>
      <c r="D308" s="244">
        <v>43222</v>
      </c>
      <c r="E308" s="244">
        <v>43192</v>
      </c>
      <c r="F308" s="243">
        <v>31</v>
      </c>
      <c r="G308" s="243" t="s">
        <v>256</v>
      </c>
      <c r="H308" s="243" t="s">
        <v>254</v>
      </c>
      <c r="I308" s="243">
        <v>167</v>
      </c>
      <c r="J308" s="243"/>
      <c r="K308" s="243"/>
      <c r="L308" s="243">
        <v>14.18</v>
      </c>
      <c r="M308" s="243">
        <v>41.44</v>
      </c>
      <c r="N308" s="243">
        <v>55.62</v>
      </c>
      <c r="O308" s="318">
        <v>2018</v>
      </c>
      <c r="P308" s="310">
        <v>4</v>
      </c>
      <c r="Q308" s="310"/>
      <c r="R308" s="244">
        <v>43192</v>
      </c>
      <c r="S308" s="240" t="s">
        <v>270</v>
      </c>
      <c r="T308" s="230" t="s">
        <v>252</v>
      </c>
    </row>
    <row r="309" spans="1:21" x14ac:dyDescent="0.25">
      <c r="A309" s="243">
        <v>8409153000</v>
      </c>
      <c r="B309" s="240" t="str">
        <f>VLOOKUP(A309,'Energy Provider Accounts'!C:F,2,FALSE)</f>
        <v>Sewer Plant Farmer's Turnpike</v>
      </c>
      <c r="C309" s="243" t="s">
        <v>230</v>
      </c>
      <c r="D309" s="244">
        <v>43255</v>
      </c>
      <c r="E309" s="244">
        <v>43222</v>
      </c>
      <c r="F309" s="243">
        <v>34</v>
      </c>
      <c r="G309" s="243" t="s">
        <v>256</v>
      </c>
      <c r="H309" s="243" t="s">
        <v>254</v>
      </c>
      <c r="I309" s="243">
        <v>325</v>
      </c>
      <c r="J309" s="243"/>
      <c r="K309" s="243"/>
      <c r="L309" s="243">
        <v>34.729999999999997</v>
      </c>
      <c r="M309" s="243">
        <v>46.89</v>
      </c>
      <c r="N309" s="243">
        <v>81.62</v>
      </c>
      <c r="O309" s="318">
        <v>2018</v>
      </c>
      <c r="P309" s="310">
        <v>5</v>
      </c>
      <c r="Q309" s="310"/>
      <c r="R309" s="244">
        <v>43222</v>
      </c>
      <c r="S309" s="240" t="s">
        <v>85</v>
      </c>
      <c r="T309" s="230" t="s">
        <v>252</v>
      </c>
    </row>
    <row r="310" spans="1:21" x14ac:dyDescent="0.25">
      <c r="A310" s="243">
        <v>8409153000</v>
      </c>
      <c r="B310" s="240" t="str">
        <f>VLOOKUP(A310,'Energy Provider Accounts'!C:F,2,FALSE)</f>
        <v>Sewer Plant Farmer's Turnpike</v>
      </c>
      <c r="C310" s="243" t="s">
        <v>230</v>
      </c>
      <c r="D310" s="332">
        <v>43283</v>
      </c>
      <c r="E310" s="332">
        <v>43255</v>
      </c>
      <c r="F310" s="333">
        <v>29</v>
      </c>
      <c r="G310" s="333" t="s">
        <v>256</v>
      </c>
      <c r="H310" s="333" t="s">
        <v>254</v>
      </c>
      <c r="I310" s="333">
        <v>0</v>
      </c>
      <c r="J310" s="333"/>
      <c r="K310" s="333"/>
      <c r="L310" s="333"/>
      <c r="M310" s="333"/>
      <c r="N310" s="333">
        <v>34.57</v>
      </c>
      <c r="O310" s="333">
        <v>2018</v>
      </c>
      <c r="P310" s="336">
        <v>6</v>
      </c>
      <c r="Q310" s="336"/>
      <c r="R310" s="332">
        <v>43255</v>
      </c>
      <c r="S310" s="337" t="s">
        <v>86</v>
      </c>
      <c r="T310" s="338" t="s">
        <v>252</v>
      </c>
      <c r="U310" t="s">
        <v>274</v>
      </c>
    </row>
    <row r="311" spans="1:21" x14ac:dyDescent="0.25">
      <c r="A311" s="243">
        <v>8409153000</v>
      </c>
      <c r="B311" s="240" t="str">
        <f>VLOOKUP(A311,'Energy Provider Accounts'!C:F,2,FALSE)</f>
        <v>Sewer Plant Farmer's Turnpike</v>
      </c>
      <c r="C311" s="243" t="s">
        <v>230</v>
      </c>
      <c r="D311" s="332">
        <v>43314</v>
      </c>
      <c r="E311" s="332">
        <v>43283</v>
      </c>
      <c r="F311" s="333">
        <v>32</v>
      </c>
      <c r="G311" s="333" t="s">
        <v>263</v>
      </c>
      <c r="H311" s="333" t="s">
        <v>254</v>
      </c>
      <c r="I311" s="333">
        <v>0</v>
      </c>
      <c r="J311" s="333"/>
      <c r="K311" s="333"/>
      <c r="L311" s="333"/>
      <c r="M311" s="333"/>
      <c r="N311" s="333">
        <v>34.57</v>
      </c>
      <c r="O311" s="333">
        <v>2018</v>
      </c>
      <c r="P311" s="336">
        <v>7</v>
      </c>
      <c r="Q311" s="336"/>
      <c r="R311" s="332">
        <v>43283</v>
      </c>
      <c r="S311" s="337" t="s">
        <v>87</v>
      </c>
      <c r="T311" s="338" t="s">
        <v>252</v>
      </c>
      <c r="U311" t="s">
        <v>274</v>
      </c>
    </row>
    <row r="312" spans="1:21" x14ac:dyDescent="0.25">
      <c r="A312" s="243">
        <v>8409153000</v>
      </c>
      <c r="B312" s="240" t="str">
        <f>VLOOKUP(A312,'Energy Provider Accounts'!C:F,2,FALSE)</f>
        <v>Sewer Plant Farmer's Turnpike</v>
      </c>
      <c r="C312" s="243" t="s">
        <v>230</v>
      </c>
      <c r="D312" s="244">
        <v>43342</v>
      </c>
      <c r="E312" s="244">
        <v>43314</v>
      </c>
      <c r="F312" s="243">
        <v>29</v>
      </c>
      <c r="G312" s="243" t="s">
        <v>256</v>
      </c>
      <c r="H312" s="243" t="s">
        <v>254</v>
      </c>
      <c r="I312" s="243">
        <v>0</v>
      </c>
      <c r="J312" s="243"/>
      <c r="K312" s="243"/>
      <c r="L312" s="243">
        <v>0</v>
      </c>
      <c r="M312" s="243">
        <v>34.57</v>
      </c>
      <c r="N312" s="243">
        <v>34.57</v>
      </c>
      <c r="O312" s="318">
        <v>2018</v>
      </c>
      <c r="P312" s="310">
        <v>8</v>
      </c>
      <c r="Q312" s="310"/>
      <c r="R312" s="244">
        <v>43313</v>
      </c>
      <c r="S312" s="240" t="s">
        <v>88</v>
      </c>
      <c r="T312" s="230" t="s">
        <v>252</v>
      </c>
    </row>
    <row r="313" spans="1:21" x14ac:dyDescent="0.25">
      <c r="A313" s="243">
        <v>8409153000</v>
      </c>
      <c r="B313" s="240" t="str">
        <f>VLOOKUP(A313,'Energy Provider Accounts'!C:F,2,FALSE)</f>
        <v>Sewer Plant Farmer's Turnpike</v>
      </c>
      <c r="C313" s="243" t="s">
        <v>230</v>
      </c>
      <c r="D313" s="332">
        <v>43376</v>
      </c>
      <c r="E313" s="332">
        <v>43342</v>
      </c>
      <c r="F313" s="333">
        <v>35</v>
      </c>
      <c r="G313" s="333" t="s">
        <v>256</v>
      </c>
      <c r="H313" s="333" t="s">
        <v>254</v>
      </c>
      <c r="I313" s="333">
        <v>1</v>
      </c>
      <c r="J313" s="333"/>
      <c r="K313" s="333"/>
      <c r="L313" s="333"/>
      <c r="M313" s="333">
        <v>34.57</v>
      </c>
      <c r="N313" s="333">
        <v>34.57</v>
      </c>
      <c r="O313" s="333">
        <v>2018</v>
      </c>
      <c r="P313" s="336">
        <v>9</v>
      </c>
      <c r="Q313" s="336"/>
      <c r="R313" s="332">
        <v>43342</v>
      </c>
      <c r="S313" s="337" t="s">
        <v>89</v>
      </c>
      <c r="T313" s="338" t="s">
        <v>252</v>
      </c>
      <c r="U313" t="s">
        <v>275</v>
      </c>
    </row>
    <row r="314" spans="1:21" x14ac:dyDescent="0.25">
      <c r="A314" s="243">
        <v>8409153000</v>
      </c>
      <c r="B314" s="240" t="str">
        <f>VLOOKUP(A314,'Energy Provider Accounts'!C:F,2,FALSE)</f>
        <v>Sewer Plant Farmer's Turnpike</v>
      </c>
      <c r="C314" s="243" t="s">
        <v>230</v>
      </c>
      <c r="D314" s="244">
        <v>43403</v>
      </c>
      <c r="E314" s="244">
        <v>43376</v>
      </c>
      <c r="F314" s="243">
        <v>28</v>
      </c>
      <c r="G314" s="243" t="s">
        <v>263</v>
      </c>
      <c r="H314" s="243" t="s">
        <v>254</v>
      </c>
      <c r="I314" s="243">
        <v>345</v>
      </c>
      <c r="J314" s="243"/>
      <c r="K314" s="243"/>
      <c r="L314" s="243">
        <v>34.950000000000003</v>
      </c>
      <c r="M314" s="243">
        <v>46.67</v>
      </c>
      <c r="N314" s="243">
        <v>81.62</v>
      </c>
      <c r="O314" s="318">
        <v>2018</v>
      </c>
      <c r="P314" s="310">
        <v>10</v>
      </c>
      <c r="Q314" s="310"/>
      <c r="R314" s="244">
        <v>43376</v>
      </c>
      <c r="S314" s="240" t="s">
        <v>90</v>
      </c>
      <c r="T314" s="230" t="s">
        <v>252</v>
      </c>
    </row>
    <row r="315" spans="1:21" x14ac:dyDescent="0.25">
      <c r="A315" s="243">
        <v>8409153000</v>
      </c>
      <c r="B315" s="240" t="str">
        <f>VLOOKUP(A315,'Energy Provider Accounts'!C:F,2,FALSE)</f>
        <v>Sewer Plant Farmer's Turnpike</v>
      </c>
      <c r="C315" s="243" t="s">
        <v>230</v>
      </c>
      <c r="D315" s="332">
        <v>43434</v>
      </c>
      <c r="E315" s="332">
        <v>43403</v>
      </c>
      <c r="F315" s="333">
        <v>32</v>
      </c>
      <c r="G315" s="333" t="s">
        <v>263</v>
      </c>
      <c r="H315" s="333" t="s">
        <v>254</v>
      </c>
      <c r="I315" s="333">
        <v>527</v>
      </c>
      <c r="J315" s="333"/>
      <c r="K315" s="333"/>
      <c r="L315" s="333"/>
      <c r="M315" s="333"/>
      <c r="N315" s="333">
        <v>94.86</v>
      </c>
      <c r="O315" s="333">
        <v>2018</v>
      </c>
      <c r="P315" s="336">
        <v>11</v>
      </c>
      <c r="Q315" s="336"/>
      <c r="R315" s="332">
        <v>43403</v>
      </c>
      <c r="S315" s="337" t="s">
        <v>91</v>
      </c>
      <c r="T315" s="338" t="s">
        <v>252</v>
      </c>
      <c r="U315" t="s">
        <v>276</v>
      </c>
    </row>
    <row r="316" spans="1:21" x14ac:dyDescent="0.25">
      <c r="A316" s="243">
        <v>8409153000</v>
      </c>
      <c r="B316" s="240" t="str">
        <f>VLOOKUP(A316,'Energy Provider Accounts'!C:F,2,FALSE)</f>
        <v>Sewer Plant Farmer's Turnpike</v>
      </c>
      <c r="C316" s="243" t="s">
        <v>230</v>
      </c>
      <c r="D316" s="244">
        <v>43468</v>
      </c>
      <c r="E316" s="244">
        <v>43434</v>
      </c>
      <c r="F316" s="243">
        <v>35</v>
      </c>
      <c r="G316" s="243" t="s">
        <v>263</v>
      </c>
      <c r="H316" s="243" t="s">
        <v>254</v>
      </c>
      <c r="I316" s="243">
        <v>1254</v>
      </c>
      <c r="J316" s="243"/>
      <c r="K316" s="243"/>
      <c r="L316" s="243">
        <v>69.13</v>
      </c>
      <c r="M316" s="243">
        <v>76.38</v>
      </c>
      <c r="N316" s="243">
        <v>145.51</v>
      </c>
      <c r="P316" s="310">
        <v>12</v>
      </c>
      <c r="Q316" s="310"/>
      <c r="R316" s="244">
        <v>43434</v>
      </c>
      <c r="S316" s="240" t="s">
        <v>92</v>
      </c>
      <c r="T316" s="230" t="s">
        <v>252</v>
      </c>
    </row>
    <row r="317" spans="1:21" x14ac:dyDescent="0.25">
      <c r="A317" s="243">
        <v>8411282000</v>
      </c>
      <c r="B317" s="240" t="str">
        <f>VLOOKUP(A317,'Energy Provider Accounts'!C:F,2,FALSE)</f>
        <v>Street Lighting #1</v>
      </c>
      <c r="C317" s="243" t="s">
        <v>230</v>
      </c>
      <c r="D317" s="244">
        <v>42035</v>
      </c>
      <c r="E317" s="244">
        <v>42734</v>
      </c>
      <c r="F317" s="243">
        <v>31</v>
      </c>
      <c r="G317" s="243" t="s">
        <v>251</v>
      </c>
      <c r="H317" s="243" t="s">
        <v>254</v>
      </c>
      <c r="I317" s="243">
        <v>3291</v>
      </c>
      <c r="J317" s="250"/>
      <c r="K317" s="250"/>
      <c r="L317" s="243">
        <v>253.72</v>
      </c>
      <c r="M317" s="243">
        <v>421.64</v>
      </c>
      <c r="N317" s="243">
        <v>675.3</v>
      </c>
      <c r="O317">
        <v>2015</v>
      </c>
      <c r="P317" s="310">
        <f t="shared" si="8"/>
        <v>1</v>
      </c>
      <c r="Q317" s="310"/>
      <c r="R317" s="244">
        <v>42734</v>
      </c>
      <c r="S317" s="240" t="str">
        <f t="shared" si="9"/>
        <v>Jan</v>
      </c>
      <c r="T317" s="230" t="s">
        <v>252</v>
      </c>
    </row>
    <row r="318" spans="1:21" x14ac:dyDescent="0.25">
      <c r="A318" s="243">
        <v>8411282000</v>
      </c>
      <c r="B318" s="240" t="str">
        <f>VLOOKUP(A318,'Energy Provider Accounts'!C:F,2,FALSE)</f>
        <v>Street Lighting #1</v>
      </c>
      <c r="C318" s="243" t="s">
        <v>230</v>
      </c>
      <c r="D318" s="244">
        <v>42063</v>
      </c>
      <c r="E318" s="244">
        <v>42766</v>
      </c>
      <c r="F318" s="243">
        <v>28</v>
      </c>
      <c r="G318" s="243" t="s">
        <v>251</v>
      </c>
      <c r="H318" s="243" t="s">
        <v>254</v>
      </c>
      <c r="I318" s="243">
        <v>2752</v>
      </c>
      <c r="J318" s="250"/>
      <c r="K318" s="250"/>
      <c r="L318" s="243">
        <v>246.35</v>
      </c>
      <c r="M318" s="243">
        <v>412.53</v>
      </c>
      <c r="N318" s="243">
        <v>658.88</v>
      </c>
      <c r="O318">
        <v>2015</v>
      </c>
      <c r="P318" s="310">
        <f t="shared" si="8"/>
        <v>2</v>
      </c>
      <c r="Q318" s="310"/>
      <c r="R318" s="244">
        <v>42766</v>
      </c>
      <c r="S318" s="240" t="str">
        <f t="shared" si="9"/>
        <v>Feb</v>
      </c>
      <c r="T318" s="230" t="s">
        <v>255</v>
      </c>
    </row>
    <row r="319" spans="1:21" x14ac:dyDescent="0.25">
      <c r="A319" s="243">
        <v>8411282000</v>
      </c>
      <c r="B319" s="240" t="str">
        <f>VLOOKUP(A319,'Energy Provider Accounts'!C:F,2,FALSE)</f>
        <v>Street Lighting #1</v>
      </c>
      <c r="C319" s="243" t="s">
        <v>230</v>
      </c>
      <c r="D319" s="244">
        <v>42094</v>
      </c>
      <c r="E319" s="244">
        <v>42065</v>
      </c>
      <c r="F319" s="243">
        <v>31</v>
      </c>
      <c r="G319" s="243" t="s">
        <v>251</v>
      </c>
      <c r="H319" s="243" t="s">
        <v>254</v>
      </c>
      <c r="I319" s="243">
        <v>2647</v>
      </c>
      <c r="J319" s="250"/>
      <c r="K319" s="250"/>
      <c r="L319" s="243">
        <v>290.33</v>
      </c>
      <c r="M319" s="243">
        <v>403.44</v>
      </c>
      <c r="N319" s="243">
        <v>693.77</v>
      </c>
      <c r="O319">
        <v>2015</v>
      </c>
      <c r="P319" s="310">
        <f t="shared" si="8"/>
        <v>3</v>
      </c>
      <c r="Q319" s="310"/>
      <c r="R319" s="244">
        <v>42065</v>
      </c>
      <c r="S319" s="240" t="str">
        <f t="shared" si="9"/>
        <v>Mar</v>
      </c>
      <c r="T319" s="230" t="s">
        <v>255</v>
      </c>
    </row>
    <row r="320" spans="1:21" x14ac:dyDescent="0.25">
      <c r="A320" s="243">
        <v>8411282000</v>
      </c>
      <c r="B320" s="240" t="str">
        <f>VLOOKUP(A320,'Energy Provider Accounts'!C:F,2,FALSE)</f>
        <v>Street Lighting #1</v>
      </c>
      <c r="C320" s="243" t="s">
        <v>230</v>
      </c>
      <c r="D320" s="244">
        <v>42124</v>
      </c>
      <c r="E320" s="244">
        <v>42094</v>
      </c>
      <c r="F320" s="243">
        <v>30</v>
      </c>
      <c r="G320" s="243" t="s">
        <v>251</v>
      </c>
      <c r="H320" s="243" t="s">
        <v>254</v>
      </c>
      <c r="I320" s="243">
        <v>2349</v>
      </c>
      <c r="J320" s="250"/>
      <c r="K320" s="250"/>
      <c r="L320" s="243">
        <v>171.65</v>
      </c>
      <c r="M320" s="243">
        <v>414.59</v>
      </c>
      <c r="N320" s="243">
        <v>586.24</v>
      </c>
      <c r="O320">
        <v>2015</v>
      </c>
      <c r="P320" s="310">
        <f t="shared" si="8"/>
        <v>4</v>
      </c>
      <c r="Q320" s="310"/>
      <c r="R320" s="244">
        <v>42094</v>
      </c>
      <c r="S320" s="240" t="str">
        <f t="shared" si="9"/>
        <v>Apr</v>
      </c>
      <c r="T320" s="230" t="s">
        <v>255</v>
      </c>
    </row>
    <row r="321" spans="1:20" x14ac:dyDescent="0.25">
      <c r="A321" s="243">
        <v>8411282000</v>
      </c>
      <c r="B321" s="240" t="str">
        <f>VLOOKUP(A321,'Energy Provider Accounts'!C:F,2,FALSE)</f>
        <v>Street Lighting #1</v>
      </c>
      <c r="C321" s="243" t="s">
        <v>230</v>
      </c>
      <c r="D321" s="244">
        <v>42155</v>
      </c>
      <c r="E321" s="244">
        <v>42124</v>
      </c>
      <c r="F321" s="243">
        <v>31</v>
      </c>
      <c r="G321" s="243" t="s">
        <v>251</v>
      </c>
      <c r="H321" s="243" t="s">
        <v>254</v>
      </c>
      <c r="I321" s="243">
        <v>2102</v>
      </c>
      <c r="J321" s="250"/>
      <c r="K321" s="250"/>
      <c r="L321" s="243">
        <v>59.46</v>
      </c>
      <c r="M321" s="243">
        <v>418.34</v>
      </c>
      <c r="N321" s="243">
        <v>477.8</v>
      </c>
      <c r="O321">
        <v>2015</v>
      </c>
      <c r="P321" s="310">
        <f t="shared" si="8"/>
        <v>5</v>
      </c>
      <c r="Q321" s="310"/>
      <c r="R321" s="244">
        <v>42124</v>
      </c>
      <c r="S321" s="240" t="str">
        <f t="shared" si="9"/>
        <v>May</v>
      </c>
      <c r="T321" s="230" t="s">
        <v>255</v>
      </c>
    </row>
    <row r="322" spans="1:20" x14ac:dyDescent="0.25">
      <c r="A322" s="243">
        <v>8411282000</v>
      </c>
      <c r="B322" s="240" t="str">
        <f>VLOOKUP(A322,'Energy Provider Accounts'!C:F,2,FALSE)</f>
        <v>Street Lighting #1</v>
      </c>
      <c r="C322" s="243" t="s">
        <v>230</v>
      </c>
      <c r="D322" s="244">
        <v>42185</v>
      </c>
      <c r="E322" s="244">
        <v>42156</v>
      </c>
      <c r="F322" s="243">
        <v>30</v>
      </c>
      <c r="G322" s="243" t="s">
        <v>251</v>
      </c>
      <c r="H322" s="243" t="s">
        <v>254</v>
      </c>
      <c r="I322" s="243">
        <v>1875</v>
      </c>
      <c r="J322" s="250"/>
      <c r="K322" s="250"/>
      <c r="L322" s="243">
        <v>76.069999999999993</v>
      </c>
      <c r="M322" s="243">
        <v>406.81</v>
      </c>
      <c r="N322" s="243">
        <v>482.88</v>
      </c>
      <c r="O322">
        <v>2015</v>
      </c>
      <c r="P322" s="310">
        <f t="shared" si="8"/>
        <v>6</v>
      </c>
      <c r="Q322" s="310"/>
      <c r="R322" s="244">
        <v>42156</v>
      </c>
      <c r="S322" s="240" t="str">
        <f t="shared" si="9"/>
        <v>Jun</v>
      </c>
      <c r="T322" s="230" t="s">
        <v>255</v>
      </c>
    </row>
    <row r="323" spans="1:20" x14ac:dyDescent="0.25">
      <c r="A323" s="243">
        <v>8411282000</v>
      </c>
      <c r="B323" s="240" t="str">
        <f>VLOOKUP(A323,'Energy Provider Accounts'!C:F,2,FALSE)</f>
        <v>Street Lighting #1</v>
      </c>
      <c r="C323" s="243" t="s">
        <v>230</v>
      </c>
      <c r="D323" s="244">
        <v>42216</v>
      </c>
      <c r="E323" s="244">
        <v>42185</v>
      </c>
      <c r="F323" s="243">
        <v>31</v>
      </c>
      <c r="G323" s="243" t="s">
        <v>251</v>
      </c>
      <c r="H323" s="243" t="s">
        <v>254</v>
      </c>
      <c r="I323" s="243">
        <v>2035</v>
      </c>
      <c r="J323" s="250"/>
      <c r="K323" s="250"/>
      <c r="L323" s="243">
        <v>103.56</v>
      </c>
      <c r="M323" s="243">
        <v>409.28</v>
      </c>
      <c r="N323" s="243">
        <v>512.84</v>
      </c>
      <c r="O323">
        <v>2015</v>
      </c>
      <c r="P323" s="310">
        <f t="shared" si="8"/>
        <v>7</v>
      </c>
      <c r="Q323" s="310"/>
      <c r="R323" s="244">
        <v>42185</v>
      </c>
      <c r="S323" s="240" t="str">
        <f t="shared" si="9"/>
        <v>Jul</v>
      </c>
      <c r="T323" s="230" t="s">
        <v>255</v>
      </c>
    </row>
    <row r="324" spans="1:20" x14ac:dyDescent="0.25">
      <c r="A324" s="246">
        <v>8411282000</v>
      </c>
      <c r="B324" s="240" t="str">
        <f>VLOOKUP(A324,'Energy Provider Accounts'!C:F,2,FALSE)</f>
        <v>Street Lighting #1</v>
      </c>
      <c r="C324" s="246" t="s">
        <v>230</v>
      </c>
      <c r="D324" s="247">
        <v>42247</v>
      </c>
      <c r="E324" s="247">
        <v>42216</v>
      </c>
      <c r="F324" s="246">
        <v>31</v>
      </c>
      <c r="G324" s="246" t="s">
        <v>251</v>
      </c>
      <c r="H324" s="243" t="s">
        <v>254</v>
      </c>
      <c r="I324" s="246">
        <v>2210</v>
      </c>
      <c r="J324" s="250"/>
      <c r="K324" s="250"/>
      <c r="L324" s="246">
        <v>265.54000000000002</v>
      </c>
      <c r="M324" s="246">
        <v>307.27</v>
      </c>
      <c r="N324" s="246">
        <v>583.66</v>
      </c>
      <c r="O324">
        <v>2015</v>
      </c>
      <c r="P324" s="310">
        <f t="shared" si="8"/>
        <v>8</v>
      </c>
      <c r="Q324" s="310"/>
      <c r="R324" s="247">
        <v>42216</v>
      </c>
      <c r="S324" s="240" t="str">
        <f t="shared" si="9"/>
        <v>Aug</v>
      </c>
      <c r="T324" s="230" t="s">
        <v>255</v>
      </c>
    </row>
    <row r="325" spans="1:20" x14ac:dyDescent="0.25">
      <c r="A325" s="243">
        <v>8411282000</v>
      </c>
      <c r="B325" s="240" t="str">
        <f>VLOOKUP(A325,'Energy Provider Accounts'!C:F,2,FALSE)</f>
        <v>Street Lighting #1</v>
      </c>
      <c r="C325" s="243" t="s">
        <v>230</v>
      </c>
      <c r="D325" s="244">
        <v>42277</v>
      </c>
      <c r="E325" s="244">
        <v>42247</v>
      </c>
      <c r="F325" s="243">
        <v>30</v>
      </c>
      <c r="G325" s="243" t="s">
        <v>251</v>
      </c>
      <c r="H325" s="243" t="s">
        <v>254</v>
      </c>
      <c r="I325" s="243">
        <v>2521</v>
      </c>
      <c r="J325" s="250"/>
      <c r="K325" s="250"/>
      <c r="L325" s="243">
        <v>168.5</v>
      </c>
      <c r="M325" s="243">
        <v>409.75</v>
      </c>
      <c r="N325" s="243">
        <v>578.25</v>
      </c>
      <c r="O325">
        <v>2015</v>
      </c>
      <c r="P325" s="310">
        <f t="shared" si="8"/>
        <v>9</v>
      </c>
      <c r="Q325" s="310"/>
      <c r="R325" s="244">
        <v>42247</v>
      </c>
      <c r="S325" s="240" t="str">
        <f t="shared" si="9"/>
        <v>Sep</v>
      </c>
      <c r="T325" s="230" t="s">
        <v>255</v>
      </c>
    </row>
    <row r="326" spans="1:20" x14ac:dyDescent="0.25">
      <c r="A326" s="243">
        <v>8411282000</v>
      </c>
      <c r="B326" s="240" t="str">
        <f>VLOOKUP(A326,'Energy Provider Accounts'!C:F,2,FALSE)</f>
        <v>Street Lighting #1</v>
      </c>
      <c r="C326" s="243" t="s">
        <v>230</v>
      </c>
      <c r="D326" s="244">
        <v>42308</v>
      </c>
      <c r="E326" s="244">
        <v>42276</v>
      </c>
      <c r="F326" s="243">
        <v>31</v>
      </c>
      <c r="G326" s="243" t="s">
        <v>251</v>
      </c>
      <c r="H326" s="243" t="s">
        <v>254</v>
      </c>
      <c r="I326" s="243">
        <v>2896</v>
      </c>
      <c r="J326" s="250"/>
      <c r="K326" s="250"/>
      <c r="L326" s="243">
        <v>181.88</v>
      </c>
      <c r="M326" s="243">
        <v>407.52</v>
      </c>
      <c r="N326" s="243">
        <v>589.4</v>
      </c>
      <c r="O326">
        <v>2015</v>
      </c>
      <c r="P326" s="310">
        <f t="shared" si="8"/>
        <v>10</v>
      </c>
      <c r="Q326" s="310"/>
      <c r="R326" s="244">
        <v>42276</v>
      </c>
      <c r="S326" s="240" t="str">
        <f t="shared" si="9"/>
        <v>Oct</v>
      </c>
      <c r="T326" s="230" t="s">
        <v>255</v>
      </c>
    </row>
    <row r="327" spans="1:20" x14ac:dyDescent="0.25">
      <c r="A327" s="243">
        <v>8411282000</v>
      </c>
      <c r="B327" s="240" t="str">
        <f>VLOOKUP(A327,'Energy Provider Accounts'!C:F,2,FALSE)</f>
        <v>Street Lighting #1</v>
      </c>
      <c r="C327" s="243" t="s">
        <v>230</v>
      </c>
      <c r="D327" s="244">
        <v>42338</v>
      </c>
      <c r="E327" s="244">
        <v>42305</v>
      </c>
      <c r="F327" s="243">
        <v>30</v>
      </c>
      <c r="G327" s="243" t="s">
        <v>251</v>
      </c>
      <c r="H327" s="243" t="s">
        <v>254</v>
      </c>
      <c r="I327" s="243">
        <v>3121</v>
      </c>
      <c r="J327" s="250"/>
      <c r="K327" s="250"/>
      <c r="L327" s="243">
        <v>141.91999999999999</v>
      </c>
      <c r="M327" s="243">
        <v>405.77</v>
      </c>
      <c r="N327" s="243">
        <v>551.69000000000005</v>
      </c>
      <c r="O327">
        <v>2015</v>
      </c>
      <c r="P327" s="310">
        <f t="shared" si="8"/>
        <v>11</v>
      </c>
      <c r="Q327" s="310"/>
      <c r="R327" s="244">
        <v>42305</v>
      </c>
      <c r="S327" s="240" t="str">
        <f t="shared" si="9"/>
        <v>Nov</v>
      </c>
      <c r="T327" s="230" t="s">
        <v>255</v>
      </c>
    </row>
    <row r="328" spans="1:20" x14ac:dyDescent="0.25">
      <c r="A328" s="243">
        <v>8411282000</v>
      </c>
      <c r="B328" s="240" t="str">
        <f>VLOOKUP(A328,'Energy Provider Accounts'!C:F,2,FALSE)</f>
        <v>Street Lighting #1</v>
      </c>
      <c r="C328" s="243" t="s">
        <v>230</v>
      </c>
      <c r="D328" s="244">
        <v>42369</v>
      </c>
      <c r="E328" s="244">
        <v>42338</v>
      </c>
      <c r="F328" s="243">
        <v>31</v>
      </c>
      <c r="G328" s="243" t="s">
        <v>251</v>
      </c>
      <c r="H328" s="243" t="s">
        <v>254</v>
      </c>
      <c r="I328" s="243">
        <v>3436</v>
      </c>
      <c r="J328" s="250"/>
      <c r="K328" s="250"/>
      <c r="L328" s="243">
        <v>116.23</v>
      </c>
      <c r="M328" s="243">
        <v>400.22</v>
      </c>
      <c r="N328" s="243">
        <v>516.45000000000005</v>
      </c>
      <c r="O328">
        <v>2015</v>
      </c>
      <c r="P328" s="310">
        <f t="shared" si="8"/>
        <v>12</v>
      </c>
      <c r="Q328" s="310"/>
      <c r="R328" s="244">
        <v>42338</v>
      </c>
      <c r="S328" s="240" t="str">
        <f t="shared" si="9"/>
        <v>Dec</v>
      </c>
      <c r="T328" s="230" t="s">
        <v>255</v>
      </c>
    </row>
    <row r="329" spans="1:20" x14ac:dyDescent="0.25">
      <c r="A329" s="243">
        <v>8411282000</v>
      </c>
      <c r="B329" s="240" t="str">
        <f>VLOOKUP(A329,'Energy Provider Accounts'!C:F,2,FALSE)</f>
        <v>Street Lighting #1</v>
      </c>
      <c r="C329" s="243" t="s">
        <v>230</v>
      </c>
      <c r="D329" s="244">
        <v>42398</v>
      </c>
      <c r="E329" s="244">
        <v>42368</v>
      </c>
      <c r="F329" s="243">
        <v>30</v>
      </c>
      <c r="G329" s="243" t="s">
        <v>253</v>
      </c>
      <c r="H329" s="243" t="s">
        <v>254</v>
      </c>
      <c r="I329" s="243">
        <v>3296</v>
      </c>
      <c r="J329" s="243">
        <v>0</v>
      </c>
      <c r="K329" s="243">
        <v>0</v>
      </c>
      <c r="L329" s="243">
        <v>348.99</v>
      </c>
      <c r="M329" s="243">
        <v>234.2</v>
      </c>
      <c r="N329" s="243">
        <v>583.37</v>
      </c>
      <c r="O329">
        <v>2016</v>
      </c>
      <c r="P329" s="310">
        <f t="shared" si="8"/>
        <v>1</v>
      </c>
      <c r="Q329" s="310"/>
      <c r="R329" s="244">
        <v>42368</v>
      </c>
      <c r="S329" s="240" t="str">
        <f t="shared" si="9"/>
        <v>Jan</v>
      </c>
      <c r="T329" s="230" t="s">
        <v>255</v>
      </c>
    </row>
    <row r="330" spans="1:20" x14ac:dyDescent="0.25">
      <c r="A330" s="243">
        <v>8411282000</v>
      </c>
      <c r="B330" s="240" t="str">
        <f>VLOOKUP(A330,'Energy Provider Accounts'!C:F,2,FALSE)</f>
        <v>Street Lighting #1</v>
      </c>
      <c r="C330" s="243" t="s">
        <v>230</v>
      </c>
      <c r="D330" s="244">
        <v>42430</v>
      </c>
      <c r="E330" s="244">
        <v>42400</v>
      </c>
      <c r="F330" s="243">
        <v>30</v>
      </c>
      <c r="G330" s="243" t="s">
        <v>253</v>
      </c>
      <c r="H330" s="243" t="s">
        <v>254</v>
      </c>
      <c r="I330" s="243">
        <v>2752</v>
      </c>
      <c r="J330" s="243">
        <v>0</v>
      </c>
      <c r="K330" s="243">
        <v>0</v>
      </c>
      <c r="L330" s="243">
        <v>368.34</v>
      </c>
      <c r="M330" s="243">
        <v>224.06</v>
      </c>
      <c r="N330" s="243">
        <v>592.70000000000005</v>
      </c>
      <c r="O330">
        <v>2016</v>
      </c>
      <c r="P330" s="310">
        <f t="shared" si="8"/>
        <v>3</v>
      </c>
      <c r="Q330" s="310"/>
      <c r="R330" s="244">
        <v>42400</v>
      </c>
      <c r="S330" s="240" t="s">
        <v>82</v>
      </c>
      <c r="T330" s="230" t="s">
        <v>255</v>
      </c>
    </row>
    <row r="331" spans="1:20" x14ac:dyDescent="0.25">
      <c r="A331" s="243">
        <v>8411282000</v>
      </c>
      <c r="B331" s="240" t="str">
        <f>VLOOKUP(A331,'Energy Provider Accounts'!C:F,2,FALSE)</f>
        <v>Street Lighting #1</v>
      </c>
      <c r="C331" s="243" t="s">
        <v>230</v>
      </c>
      <c r="D331" s="244">
        <v>42459</v>
      </c>
      <c r="E331" s="244">
        <v>42429</v>
      </c>
      <c r="F331" s="243">
        <v>30</v>
      </c>
      <c r="G331" s="243" t="s">
        <v>253</v>
      </c>
      <c r="H331" s="243" t="s">
        <v>254</v>
      </c>
      <c r="I331" s="243">
        <v>2647</v>
      </c>
      <c r="J331" s="243">
        <v>0</v>
      </c>
      <c r="K331" s="243">
        <v>0</v>
      </c>
      <c r="L331" s="243">
        <v>332.54</v>
      </c>
      <c r="M331" s="243">
        <v>251.03</v>
      </c>
      <c r="N331" s="243">
        <v>583.86</v>
      </c>
      <c r="O331">
        <v>2016</v>
      </c>
      <c r="P331" s="310">
        <f t="shared" si="8"/>
        <v>3</v>
      </c>
      <c r="Q331" s="310"/>
      <c r="R331" s="244">
        <v>42429</v>
      </c>
      <c r="S331" s="240" t="str">
        <f t="shared" si="9"/>
        <v>Mar</v>
      </c>
      <c r="T331" s="230" t="s">
        <v>255</v>
      </c>
    </row>
    <row r="332" spans="1:20" x14ac:dyDescent="0.25">
      <c r="A332" s="243">
        <v>8411282000</v>
      </c>
      <c r="B332" s="240" t="str">
        <f>VLOOKUP(A332,'Energy Provider Accounts'!C:F,2,FALSE)</f>
        <v>Street Lighting #1</v>
      </c>
      <c r="C332" s="243" t="s">
        <v>230</v>
      </c>
      <c r="D332" s="244">
        <v>42488</v>
      </c>
      <c r="E332" s="244">
        <v>42458</v>
      </c>
      <c r="F332" s="243">
        <v>30</v>
      </c>
      <c r="G332" s="243" t="s">
        <v>253</v>
      </c>
      <c r="H332" s="243" t="s">
        <v>254</v>
      </c>
      <c r="I332" s="243">
        <v>2349</v>
      </c>
      <c r="J332" s="243">
        <v>0</v>
      </c>
      <c r="K332" s="243">
        <v>0</v>
      </c>
      <c r="L332" s="243">
        <v>269.2</v>
      </c>
      <c r="M332" s="243">
        <v>276.19</v>
      </c>
      <c r="N332" s="243">
        <v>545.57000000000005</v>
      </c>
      <c r="O332">
        <v>2016</v>
      </c>
      <c r="P332" s="310">
        <f t="shared" si="8"/>
        <v>4</v>
      </c>
      <c r="Q332" s="310"/>
      <c r="R332" s="244">
        <v>42458</v>
      </c>
      <c r="S332" s="240" t="str">
        <f t="shared" si="9"/>
        <v>Apr</v>
      </c>
      <c r="T332" s="230" t="s">
        <v>255</v>
      </c>
    </row>
    <row r="333" spans="1:20" x14ac:dyDescent="0.25">
      <c r="A333" s="243">
        <v>8411282000</v>
      </c>
      <c r="B333" s="240" t="str">
        <f>VLOOKUP(A333,'Energy Provider Accounts'!C:F,2,FALSE)</f>
        <v>Street Lighting #1</v>
      </c>
      <c r="C333" s="243" t="s">
        <v>230</v>
      </c>
      <c r="D333" s="244">
        <v>42517</v>
      </c>
      <c r="E333" s="244">
        <v>42487</v>
      </c>
      <c r="F333" s="243">
        <v>30</v>
      </c>
      <c r="G333" s="243" t="s">
        <v>253</v>
      </c>
      <c r="H333" s="243" t="s">
        <v>254</v>
      </c>
      <c r="I333" s="243">
        <v>2107</v>
      </c>
      <c r="J333" s="243">
        <v>0</v>
      </c>
      <c r="K333" s="243">
        <v>0</v>
      </c>
      <c r="L333" s="243">
        <v>186.75</v>
      </c>
      <c r="M333" s="243">
        <v>317.23</v>
      </c>
      <c r="N333" s="243">
        <v>504.15</v>
      </c>
      <c r="O333">
        <v>2016</v>
      </c>
      <c r="P333" s="310">
        <f t="shared" si="8"/>
        <v>5</v>
      </c>
      <c r="Q333" s="310"/>
      <c r="R333" s="244">
        <v>42487</v>
      </c>
      <c r="S333" s="240" t="str">
        <f t="shared" si="9"/>
        <v>May</v>
      </c>
      <c r="T333" s="230" t="s">
        <v>255</v>
      </c>
    </row>
    <row r="334" spans="1:20" x14ac:dyDescent="0.25">
      <c r="A334" s="243">
        <v>8411282000</v>
      </c>
      <c r="B334" s="240" t="str">
        <f>VLOOKUP(A334,'Energy Provider Accounts'!C:F,2,FALSE)</f>
        <v>Street Lighting #1</v>
      </c>
      <c r="C334" s="243" t="s">
        <v>230</v>
      </c>
      <c r="D334" s="244">
        <v>42549</v>
      </c>
      <c r="E334" s="244">
        <v>42519</v>
      </c>
      <c r="F334" s="243">
        <v>30</v>
      </c>
      <c r="G334" s="243" t="s">
        <v>253</v>
      </c>
      <c r="H334" s="243" t="s">
        <v>254</v>
      </c>
      <c r="I334" s="243">
        <v>1863</v>
      </c>
      <c r="J334" s="243">
        <v>0</v>
      </c>
      <c r="K334" s="243">
        <v>0</v>
      </c>
      <c r="L334" s="243">
        <v>187.22</v>
      </c>
      <c r="M334" s="243">
        <v>311.97000000000003</v>
      </c>
      <c r="N334" s="243">
        <v>499.36</v>
      </c>
      <c r="O334">
        <v>2016</v>
      </c>
      <c r="P334" s="310">
        <f t="shared" si="8"/>
        <v>6</v>
      </c>
      <c r="Q334" s="310"/>
      <c r="R334" s="244">
        <v>42519</v>
      </c>
      <c r="S334" s="240" t="str">
        <f t="shared" si="9"/>
        <v>Jun</v>
      </c>
      <c r="T334" s="230" t="s">
        <v>255</v>
      </c>
    </row>
    <row r="335" spans="1:20" x14ac:dyDescent="0.25">
      <c r="A335" s="243">
        <v>8411282000</v>
      </c>
      <c r="B335" s="240" t="str">
        <f>VLOOKUP(A335,'Energy Provider Accounts'!C:F,2,FALSE)</f>
        <v>Street Lighting #1</v>
      </c>
      <c r="C335" s="243" t="s">
        <v>230</v>
      </c>
      <c r="D335" s="244">
        <v>42579</v>
      </c>
      <c r="E335" s="244">
        <v>42549</v>
      </c>
      <c r="F335" s="243">
        <v>30</v>
      </c>
      <c r="G335" s="243" t="s">
        <v>253</v>
      </c>
      <c r="H335" s="243" t="s">
        <v>254</v>
      </c>
      <c r="I335" s="243">
        <v>2023</v>
      </c>
      <c r="J335" s="243">
        <v>0</v>
      </c>
      <c r="K335" s="243">
        <v>0</v>
      </c>
      <c r="L335" s="243">
        <v>168.7</v>
      </c>
      <c r="M335" s="243">
        <v>344.88</v>
      </c>
      <c r="N335" s="243">
        <v>513.75</v>
      </c>
      <c r="O335">
        <v>2016</v>
      </c>
      <c r="P335" s="310">
        <f t="shared" si="8"/>
        <v>7</v>
      </c>
      <c r="Q335" s="310"/>
      <c r="R335" s="244">
        <v>42549</v>
      </c>
      <c r="S335" s="240" t="str">
        <f t="shared" si="9"/>
        <v>Jul</v>
      </c>
      <c r="T335" s="230" t="s">
        <v>255</v>
      </c>
    </row>
    <row r="336" spans="1:20" x14ac:dyDescent="0.25">
      <c r="A336" s="243">
        <v>8411282000</v>
      </c>
      <c r="B336" s="240" t="str">
        <f>VLOOKUP(A336,'Energy Provider Accounts'!C:F,2,FALSE)</f>
        <v>Street Lighting #1</v>
      </c>
      <c r="C336" s="243" t="s">
        <v>230</v>
      </c>
      <c r="D336" s="244">
        <v>42608</v>
      </c>
      <c r="E336" s="244">
        <v>42578</v>
      </c>
      <c r="F336" s="243">
        <v>30</v>
      </c>
      <c r="G336" s="243" t="s">
        <v>253</v>
      </c>
      <c r="H336" s="243" t="s">
        <v>254</v>
      </c>
      <c r="I336" s="243">
        <v>2249</v>
      </c>
      <c r="J336" s="243">
        <v>0</v>
      </c>
      <c r="K336" s="243">
        <v>0</v>
      </c>
      <c r="L336" s="243">
        <v>264.76</v>
      </c>
      <c r="M336" s="243">
        <v>297.43</v>
      </c>
      <c r="N336" s="243">
        <v>562.38</v>
      </c>
      <c r="O336">
        <v>2016</v>
      </c>
      <c r="P336" s="310">
        <f t="shared" si="8"/>
        <v>8</v>
      </c>
      <c r="Q336" s="310"/>
      <c r="R336" s="244">
        <v>42578</v>
      </c>
      <c r="S336" s="240" t="str">
        <f t="shared" si="9"/>
        <v>Aug</v>
      </c>
      <c r="T336" s="230" t="s">
        <v>255</v>
      </c>
    </row>
    <row r="337" spans="1:20" x14ac:dyDescent="0.25">
      <c r="A337" s="243">
        <v>8411282000</v>
      </c>
      <c r="B337" s="240" t="str">
        <f>VLOOKUP(A337,'Energy Provider Accounts'!C:F,2,FALSE)</f>
        <v>Street Lighting #1</v>
      </c>
      <c r="C337" s="243" t="s">
        <v>230</v>
      </c>
      <c r="D337" s="244">
        <v>42640</v>
      </c>
      <c r="E337" s="244">
        <v>42610</v>
      </c>
      <c r="F337" s="243">
        <v>30</v>
      </c>
      <c r="G337" s="243" t="s">
        <v>253</v>
      </c>
      <c r="H337" s="243" t="s">
        <v>254</v>
      </c>
      <c r="I337" s="243">
        <v>2489</v>
      </c>
      <c r="J337" s="243">
        <v>0</v>
      </c>
      <c r="K337" s="243">
        <v>0</v>
      </c>
      <c r="L337" s="243">
        <v>286.13</v>
      </c>
      <c r="M337" s="243">
        <v>287.44</v>
      </c>
      <c r="N337" s="243">
        <v>573.76</v>
      </c>
      <c r="O337">
        <v>2016</v>
      </c>
      <c r="P337" s="310">
        <f t="shared" si="8"/>
        <v>9</v>
      </c>
      <c r="Q337" s="310"/>
      <c r="R337" s="244">
        <v>42610</v>
      </c>
      <c r="S337" s="240" t="str">
        <f t="shared" si="9"/>
        <v>Sep</v>
      </c>
      <c r="T337" s="230" t="s">
        <v>255</v>
      </c>
    </row>
    <row r="338" spans="1:20" x14ac:dyDescent="0.25">
      <c r="A338" s="243">
        <v>8411282000</v>
      </c>
      <c r="B338" s="240" t="str">
        <f>VLOOKUP(A338,'Energy Provider Accounts'!C:F,2,FALSE)</f>
        <v>Street Lighting #1</v>
      </c>
      <c r="C338" s="243" t="s">
        <v>230</v>
      </c>
      <c r="D338" s="244">
        <v>42669</v>
      </c>
      <c r="E338" s="244">
        <v>42639</v>
      </c>
      <c r="F338" s="243">
        <v>30</v>
      </c>
      <c r="G338" s="243" t="s">
        <v>253</v>
      </c>
      <c r="H338" s="243" t="s">
        <v>254</v>
      </c>
      <c r="I338" s="243">
        <v>2860</v>
      </c>
      <c r="J338" s="243">
        <v>0</v>
      </c>
      <c r="K338" s="243">
        <v>0</v>
      </c>
      <c r="L338" s="243">
        <v>293.92</v>
      </c>
      <c r="M338" s="243">
        <v>285.45</v>
      </c>
      <c r="N338" s="243">
        <v>579.57000000000005</v>
      </c>
      <c r="O338">
        <v>2016</v>
      </c>
      <c r="P338" s="310">
        <f t="shared" si="8"/>
        <v>10</v>
      </c>
      <c r="Q338" s="310"/>
      <c r="R338" s="244">
        <v>42639</v>
      </c>
      <c r="S338" s="240" t="str">
        <f t="shared" si="9"/>
        <v>Oct</v>
      </c>
      <c r="T338" s="230" t="s">
        <v>255</v>
      </c>
    </row>
    <row r="339" spans="1:20" x14ac:dyDescent="0.25">
      <c r="A339" s="243">
        <v>8411282000</v>
      </c>
      <c r="B339" s="240" t="str">
        <f>VLOOKUP(A339,'Energy Provider Accounts'!C:F,2,FALSE)</f>
        <v>Street Lighting #1</v>
      </c>
      <c r="C339" s="243" t="s">
        <v>230</v>
      </c>
      <c r="D339" s="244">
        <v>42702</v>
      </c>
      <c r="E339" s="244">
        <v>42672</v>
      </c>
      <c r="F339" s="243">
        <v>30</v>
      </c>
      <c r="G339" s="243" t="s">
        <v>253</v>
      </c>
      <c r="H339" s="243" t="s">
        <v>254</v>
      </c>
      <c r="I339" s="243">
        <v>3085</v>
      </c>
      <c r="J339" s="243">
        <v>0</v>
      </c>
      <c r="K339" s="243">
        <v>0</v>
      </c>
      <c r="L339" s="243">
        <v>322.74</v>
      </c>
      <c r="M339" s="243">
        <v>271.01</v>
      </c>
      <c r="N339" s="243">
        <v>593.95000000000005</v>
      </c>
      <c r="O339">
        <v>2016</v>
      </c>
      <c r="P339" s="310">
        <f t="shared" si="8"/>
        <v>11</v>
      </c>
      <c r="Q339" s="310"/>
      <c r="R339" s="244">
        <v>42672</v>
      </c>
      <c r="S339" s="240" t="str">
        <f t="shared" si="9"/>
        <v>Nov</v>
      </c>
      <c r="T339" s="230" t="s">
        <v>255</v>
      </c>
    </row>
    <row r="340" spans="1:20" x14ac:dyDescent="0.25">
      <c r="A340" s="243">
        <v>8411282000</v>
      </c>
      <c r="B340" s="240" t="str">
        <f>VLOOKUP(A340,'Energy Provider Accounts'!C:F,2,FALSE)</f>
        <v>Street Lighting #1</v>
      </c>
      <c r="C340" s="243" t="s">
        <v>230</v>
      </c>
      <c r="D340" s="244">
        <v>42733</v>
      </c>
      <c r="E340" s="244">
        <v>42703</v>
      </c>
      <c r="F340" s="243">
        <v>30</v>
      </c>
      <c r="G340" s="243" t="s">
        <v>253</v>
      </c>
      <c r="H340" s="243" t="s">
        <v>254</v>
      </c>
      <c r="I340" s="243">
        <v>3394</v>
      </c>
      <c r="J340" s="243">
        <v>0</v>
      </c>
      <c r="K340" s="243">
        <v>0</v>
      </c>
      <c r="L340" s="243">
        <v>312.69</v>
      </c>
      <c r="M340" s="243">
        <v>274.18</v>
      </c>
      <c r="N340" s="243">
        <v>587.07000000000005</v>
      </c>
      <c r="O340">
        <v>2016</v>
      </c>
      <c r="P340" s="310">
        <f t="shared" si="8"/>
        <v>12</v>
      </c>
      <c r="Q340" s="310"/>
      <c r="R340" s="244">
        <v>42703</v>
      </c>
      <c r="S340" s="240" t="str">
        <f t="shared" si="9"/>
        <v>Dec</v>
      </c>
      <c r="T340" s="230" t="s">
        <v>255</v>
      </c>
    </row>
    <row r="341" spans="1:20" x14ac:dyDescent="0.25">
      <c r="A341" s="243">
        <v>8411282000</v>
      </c>
      <c r="B341" s="240" t="str">
        <f>VLOOKUP(A341,'Energy Provider Accounts'!C:F,2,FALSE)</f>
        <v>Street Lighting #1</v>
      </c>
      <c r="C341" s="243" t="s">
        <v>230</v>
      </c>
      <c r="D341" s="244">
        <v>42765</v>
      </c>
      <c r="E341" s="244">
        <v>42735</v>
      </c>
      <c r="F341" s="243">
        <v>30</v>
      </c>
      <c r="G341" s="243" t="s">
        <v>253</v>
      </c>
      <c r="H341" s="243" t="s">
        <v>254</v>
      </c>
      <c r="I341" s="243">
        <v>3256</v>
      </c>
      <c r="J341" s="243">
        <v>0</v>
      </c>
      <c r="K341" s="243">
        <v>0</v>
      </c>
      <c r="L341" s="243">
        <v>357.06</v>
      </c>
      <c r="M341" s="243">
        <v>249.9</v>
      </c>
      <c r="N341" s="243">
        <v>607.16999999999996</v>
      </c>
      <c r="O341">
        <v>2017</v>
      </c>
      <c r="P341" s="310">
        <f t="shared" si="8"/>
        <v>1</v>
      </c>
      <c r="Q341" s="310"/>
      <c r="R341" s="244">
        <v>42735</v>
      </c>
      <c r="S341" s="240" t="str">
        <f t="shared" si="9"/>
        <v>Jan</v>
      </c>
      <c r="T341" s="230" t="s">
        <v>255</v>
      </c>
    </row>
    <row r="342" spans="1:20" x14ac:dyDescent="0.25">
      <c r="A342" s="243">
        <v>8411282000</v>
      </c>
      <c r="B342" s="240" t="str">
        <f>VLOOKUP(A342,'Energy Provider Accounts'!C:F,2,FALSE)</f>
        <v>Street Lighting #1</v>
      </c>
      <c r="C342" s="243" t="s">
        <v>230</v>
      </c>
      <c r="D342" s="244">
        <v>42795</v>
      </c>
      <c r="E342" s="244">
        <v>42765</v>
      </c>
      <c r="F342" s="243">
        <v>30</v>
      </c>
      <c r="G342" s="243" t="s">
        <v>253</v>
      </c>
      <c r="H342" s="243" t="s">
        <v>254</v>
      </c>
      <c r="I342" s="243">
        <v>2720</v>
      </c>
      <c r="J342" s="243">
        <v>0</v>
      </c>
      <c r="K342" s="243">
        <v>0</v>
      </c>
      <c r="L342" s="243">
        <v>313.93</v>
      </c>
      <c r="M342" s="243">
        <v>271.87</v>
      </c>
      <c r="N342" s="243">
        <v>586.05999999999995</v>
      </c>
      <c r="O342">
        <v>2017</v>
      </c>
      <c r="P342" s="310">
        <f t="shared" si="8"/>
        <v>3</v>
      </c>
      <c r="Q342" s="310"/>
      <c r="R342" s="244">
        <v>42765</v>
      </c>
      <c r="S342" s="240" t="s">
        <v>82</v>
      </c>
      <c r="T342" s="230" t="s">
        <v>252</v>
      </c>
    </row>
    <row r="343" spans="1:20" x14ac:dyDescent="0.25">
      <c r="A343" s="243">
        <v>8411282000</v>
      </c>
      <c r="B343" s="240" t="str">
        <f>VLOOKUP(A343,'Energy Provider Accounts'!C:F,2,FALSE)</f>
        <v>Street Lighting #1</v>
      </c>
      <c r="C343" s="243" t="s">
        <v>230</v>
      </c>
      <c r="D343" s="244">
        <v>42823</v>
      </c>
      <c r="E343" s="244">
        <v>42793</v>
      </c>
      <c r="F343" s="243">
        <v>30</v>
      </c>
      <c r="G343" s="243" t="s">
        <v>253</v>
      </c>
      <c r="H343" s="243" t="s">
        <v>254</v>
      </c>
      <c r="I343" s="243">
        <v>2615</v>
      </c>
      <c r="J343" s="243">
        <v>0</v>
      </c>
      <c r="K343" s="243">
        <v>0</v>
      </c>
      <c r="L343" s="243">
        <v>242.08</v>
      </c>
      <c r="M343" s="243">
        <v>309.56</v>
      </c>
      <c r="N343" s="243">
        <v>551.89</v>
      </c>
      <c r="O343">
        <v>2017</v>
      </c>
      <c r="P343" s="310">
        <f t="shared" si="8"/>
        <v>3</v>
      </c>
      <c r="Q343" s="310"/>
      <c r="R343" s="244">
        <v>42793</v>
      </c>
      <c r="S343" s="240" t="str">
        <f t="shared" si="9"/>
        <v>Mar</v>
      </c>
      <c r="T343" s="230" t="s">
        <v>252</v>
      </c>
    </row>
    <row r="344" spans="1:20" x14ac:dyDescent="0.25">
      <c r="A344" s="243">
        <v>8411282000</v>
      </c>
      <c r="B344" s="240" t="str">
        <f>VLOOKUP(A344,'Energy Provider Accounts'!C:F,2,FALSE)</f>
        <v>Street Lighting #1</v>
      </c>
      <c r="C344" s="243" t="s">
        <v>230</v>
      </c>
      <c r="D344" s="244">
        <v>42853</v>
      </c>
      <c r="E344" s="244">
        <v>42823</v>
      </c>
      <c r="F344" s="243">
        <v>30</v>
      </c>
      <c r="G344" s="243" t="s">
        <v>253</v>
      </c>
      <c r="H344" s="243" t="s">
        <v>254</v>
      </c>
      <c r="I344" s="243">
        <v>2321</v>
      </c>
      <c r="J344" s="243">
        <v>0</v>
      </c>
      <c r="K344" s="243">
        <v>0</v>
      </c>
      <c r="L344" s="243">
        <v>281.14999999999998</v>
      </c>
      <c r="M344" s="243">
        <v>287.45999999999998</v>
      </c>
      <c r="N344" s="243">
        <v>568.84</v>
      </c>
      <c r="O344">
        <v>2017</v>
      </c>
      <c r="P344" s="310">
        <f t="shared" si="8"/>
        <v>4</v>
      </c>
      <c r="Q344" s="310"/>
      <c r="R344" s="244">
        <v>42823</v>
      </c>
      <c r="S344" s="240" t="str">
        <f t="shared" si="9"/>
        <v>Apr</v>
      </c>
      <c r="T344" s="230" t="s">
        <v>252</v>
      </c>
    </row>
    <row r="345" spans="1:20" x14ac:dyDescent="0.25">
      <c r="A345" s="243">
        <v>8411282000</v>
      </c>
      <c r="B345" s="240" t="str">
        <f>VLOOKUP(A345,'Energy Provider Accounts'!C:F,2,FALSE)</f>
        <v>Street Lighting #1</v>
      </c>
      <c r="C345" s="243" t="s">
        <v>230</v>
      </c>
      <c r="D345" s="244">
        <v>42881</v>
      </c>
      <c r="E345" s="244">
        <v>42851</v>
      </c>
      <c r="F345" s="243">
        <v>30</v>
      </c>
      <c r="G345" s="243" t="s">
        <v>253</v>
      </c>
      <c r="H345" s="243" t="s">
        <v>254</v>
      </c>
      <c r="I345" s="243">
        <v>1444</v>
      </c>
      <c r="J345" s="243">
        <v>0</v>
      </c>
      <c r="K345" s="243">
        <v>0</v>
      </c>
      <c r="L345" s="243">
        <v>192.3</v>
      </c>
      <c r="M345" s="243">
        <v>311.64999999999998</v>
      </c>
      <c r="N345" s="243">
        <v>504.15</v>
      </c>
      <c r="O345">
        <v>2017</v>
      </c>
      <c r="P345" s="310">
        <f t="shared" si="8"/>
        <v>5</v>
      </c>
      <c r="Q345" s="310"/>
      <c r="R345" s="244">
        <v>42851</v>
      </c>
      <c r="S345" s="240" t="str">
        <f t="shared" si="9"/>
        <v>May</v>
      </c>
      <c r="T345" s="230" t="s">
        <v>252</v>
      </c>
    </row>
    <row r="346" spans="1:20" x14ac:dyDescent="0.25">
      <c r="A346" s="243">
        <v>8411282000</v>
      </c>
      <c r="B346" s="240" t="str">
        <f>VLOOKUP(A346,'Energy Provider Accounts'!C:F,2,FALSE)</f>
        <v>Street Lighting #1</v>
      </c>
      <c r="C346" s="243" t="s">
        <v>230</v>
      </c>
      <c r="D346" s="244">
        <v>42913</v>
      </c>
      <c r="E346" s="244">
        <v>42883</v>
      </c>
      <c r="F346" s="243">
        <v>30</v>
      </c>
      <c r="G346" s="243" t="s">
        <v>253</v>
      </c>
      <c r="H346" s="243" t="s">
        <v>254</v>
      </c>
      <c r="I346" s="243">
        <v>1785</v>
      </c>
      <c r="J346" s="243">
        <v>0</v>
      </c>
      <c r="K346" s="243">
        <v>0</v>
      </c>
      <c r="L346" s="243">
        <v>173.06</v>
      </c>
      <c r="M346" s="243">
        <v>337.69</v>
      </c>
      <c r="N346" s="243">
        <v>510.95</v>
      </c>
      <c r="O346">
        <v>2017</v>
      </c>
      <c r="P346" s="310">
        <f t="shared" si="8"/>
        <v>6</v>
      </c>
      <c r="Q346" s="310"/>
      <c r="R346" s="244">
        <v>42883</v>
      </c>
      <c r="S346" s="240" t="str">
        <f t="shared" si="9"/>
        <v>Jun</v>
      </c>
      <c r="T346" s="230" t="s">
        <v>252</v>
      </c>
    </row>
    <row r="347" spans="1:20" x14ac:dyDescent="0.25">
      <c r="A347" s="243">
        <v>8411282000</v>
      </c>
      <c r="B347" s="240" t="str">
        <f>VLOOKUP(A347,'Energy Provider Accounts'!C:F,2,FALSE)</f>
        <v>Street Lighting #1</v>
      </c>
      <c r="C347" s="243" t="s">
        <v>230</v>
      </c>
      <c r="D347" s="244">
        <v>42943</v>
      </c>
      <c r="E347" s="244">
        <v>42913</v>
      </c>
      <c r="F347" s="243">
        <v>30</v>
      </c>
      <c r="G347" s="243" t="s">
        <v>253</v>
      </c>
      <c r="H347" s="243" t="s">
        <v>254</v>
      </c>
      <c r="I347" s="243">
        <v>1941</v>
      </c>
      <c r="J347" s="243">
        <v>0</v>
      </c>
      <c r="K347" s="243">
        <v>0</v>
      </c>
      <c r="L347" s="243">
        <v>212.3</v>
      </c>
      <c r="M347" s="243">
        <v>338.78</v>
      </c>
      <c r="N347" s="243">
        <v>551.29999999999995</v>
      </c>
      <c r="O347">
        <v>2017</v>
      </c>
      <c r="P347" s="310">
        <f t="shared" si="8"/>
        <v>7</v>
      </c>
      <c r="Q347" s="310"/>
      <c r="R347" s="244">
        <v>42913</v>
      </c>
      <c r="S347" s="240" t="str">
        <f t="shared" si="9"/>
        <v>Jul</v>
      </c>
      <c r="T347" s="230" t="s">
        <v>252</v>
      </c>
    </row>
    <row r="348" spans="1:20" x14ac:dyDescent="0.25">
      <c r="A348" s="243">
        <v>8411282000</v>
      </c>
      <c r="B348" s="240" t="str">
        <f>VLOOKUP(A348,'Energy Provider Accounts'!C:F,2,FALSE)</f>
        <v>Street Lighting #1</v>
      </c>
      <c r="C348" s="243" t="s">
        <v>230</v>
      </c>
      <c r="D348" s="244">
        <v>42972</v>
      </c>
      <c r="E348" s="244">
        <v>42942</v>
      </c>
      <c r="F348" s="243">
        <v>30</v>
      </c>
      <c r="G348" s="243" t="s">
        <v>253</v>
      </c>
      <c r="H348" s="243" t="s">
        <v>254</v>
      </c>
      <c r="I348" s="243">
        <v>2170</v>
      </c>
      <c r="J348" s="243">
        <v>0</v>
      </c>
      <c r="K348" s="243">
        <v>0</v>
      </c>
      <c r="L348" s="243">
        <v>266.32</v>
      </c>
      <c r="M348" s="243">
        <v>317.11</v>
      </c>
      <c r="N348" s="243">
        <v>583.66</v>
      </c>
      <c r="O348">
        <v>2017</v>
      </c>
      <c r="P348" s="310">
        <f t="shared" si="8"/>
        <v>8</v>
      </c>
      <c r="Q348" s="310"/>
      <c r="R348" s="244">
        <v>42942</v>
      </c>
      <c r="S348" s="240" t="str">
        <f t="shared" si="9"/>
        <v>Aug</v>
      </c>
      <c r="T348" s="230" t="s">
        <v>252</v>
      </c>
    </row>
    <row r="349" spans="1:20" x14ac:dyDescent="0.25">
      <c r="A349" s="243">
        <v>8411282000</v>
      </c>
      <c r="B349" s="240" t="str">
        <f>VLOOKUP(A349,'Energy Provider Accounts'!C:F,2,FALSE)</f>
        <v>Street Lighting #1</v>
      </c>
      <c r="C349" s="243" t="s">
        <v>230</v>
      </c>
      <c r="D349" s="244">
        <v>43004</v>
      </c>
      <c r="E349" s="244">
        <v>42974</v>
      </c>
      <c r="F349" s="243">
        <v>30</v>
      </c>
      <c r="G349" s="243" t="s">
        <v>253</v>
      </c>
      <c r="H349" s="243" t="s">
        <v>254</v>
      </c>
      <c r="I349" s="243">
        <v>2402</v>
      </c>
      <c r="J349" s="243">
        <v>0</v>
      </c>
      <c r="K349" s="243">
        <v>0</v>
      </c>
      <c r="L349" s="243">
        <v>244.08</v>
      </c>
      <c r="M349" s="243">
        <v>332.39</v>
      </c>
      <c r="N349" s="243">
        <v>576.70000000000005</v>
      </c>
      <c r="O349">
        <v>2017</v>
      </c>
      <c r="P349" s="310">
        <f t="shared" si="8"/>
        <v>9</v>
      </c>
      <c r="Q349" s="310"/>
      <c r="R349" s="244">
        <v>42974</v>
      </c>
      <c r="S349" s="240" t="str">
        <f t="shared" si="9"/>
        <v>Sep</v>
      </c>
      <c r="T349" s="230" t="s">
        <v>252</v>
      </c>
    </row>
    <row r="350" spans="1:20" x14ac:dyDescent="0.25">
      <c r="A350" s="243">
        <v>8411282000</v>
      </c>
      <c r="B350" s="240" t="str">
        <f>VLOOKUP(A350,'Energy Provider Accounts'!C:F,2,FALSE)</f>
        <v>Street Lighting #1</v>
      </c>
      <c r="C350" s="243" t="s">
        <v>230</v>
      </c>
      <c r="D350" s="244">
        <v>43033</v>
      </c>
      <c r="E350" s="244">
        <v>43003</v>
      </c>
      <c r="F350" s="243">
        <v>30</v>
      </c>
      <c r="G350" s="243" t="s">
        <v>253</v>
      </c>
      <c r="H350" s="243" t="s">
        <v>254</v>
      </c>
      <c r="I350" s="243">
        <v>2759</v>
      </c>
      <c r="J350" s="243">
        <v>0</v>
      </c>
      <c r="K350" s="243">
        <v>0</v>
      </c>
      <c r="L350" s="243">
        <v>280.91000000000003</v>
      </c>
      <c r="M350" s="243">
        <v>315.89</v>
      </c>
      <c r="N350" s="243">
        <v>597.04</v>
      </c>
      <c r="O350">
        <v>2017</v>
      </c>
      <c r="P350" s="310">
        <f t="shared" si="8"/>
        <v>10</v>
      </c>
      <c r="Q350" s="310"/>
      <c r="R350" s="244">
        <v>43003</v>
      </c>
      <c r="S350" s="240" t="str">
        <f t="shared" si="9"/>
        <v>Oct</v>
      </c>
      <c r="T350" s="230" t="s">
        <v>252</v>
      </c>
    </row>
    <row r="351" spans="1:20" x14ac:dyDescent="0.25">
      <c r="A351" s="243">
        <v>8411282000</v>
      </c>
      <c r="B351" s="240" t="str">
        <f>VLOOKUP(A351,'Energy Provider Accounts'!C:F,2,FALSE)</f>
        <v>Street Lighting #1</v>
      </c>
      <c r="C351" s="243" t="s">
        <v>230</v>
      </c>
      <c r="D351" s="244">
        <v>43066</v>
      </c>
      <c r="E351" s="244">
        <v>43036</v>
      </c>
      <c r="F351" s="243">
        <v>30</v>
      </c>
      <c r="G351" s="243" t="s">
        <v>253</v>
      </c>
      <c r="H351" s="243" t="s">
        <v>254</v>
      </c>
      <c r="I351" s="243">
        <v>2978</v>
      </c>
      <c r="J351" s="243">
        <v>0</v>
      </c>
      <c r="K351" s="243">
        <v>0</v>
      </c>
      <c r="L351" s="243">
        <v>354.69</v>
      </c>
      <c r="M351" s="243">
        <v>281.17</v>
      </c>
      <c r="N351" s="243">
        <v>636.11</v>
      </c>
      <c r="O351">
        <v>2017</v>
      </c>
      <c r="P351" s="310">
        <f t="shared" si="8"/>
        <v>11</v>
      </c>
      <c r="Q351" s="310"/>
      <c r="R351" s="244">
        <v>43036</v>
      </c>
      <c r="S351" s="240" t="str">
        <f t="shared" si="9"/>
        <v>Nov</v>
      </c>
      <c r="T351" s="230" t="s">
        <v>252</v>
      </c>
    </row>
    <row r="352" spans="1:20" x14ac:dyDescent="0.25">
      <c r="A352" s="243">
        <v>8411282000</v>
      </c>
      <c r="B352" s="240" t="str">
        <f>VLOOKUP(A352,'Energy Provider Accounts'!C:F,2,FALSE)</f>
        <v>Street Lighting #1</v>
      </c>
      <c r="C352" s="243" t="s">
        <v>230</v>
      </c>
      <c r="D352" s="244">
        <v>43097</v>
      </c>
      <c r="E352" s="244">
        <v>43067</v>
      </c>
      <c r="F352" s="243">
        <v>30</v>
      </c>
      <c r="G352" s="243" t="s">
        <v>253</v>
      </c>
      <c r="H352" s="243" t="s">
        <v>254</v>
      </c>
      <c r="I352" s="243">
        <v>3275</v>
      </c>
      <c r="J352" s="243">
        <v>0</v>
      </c>
      <c r="K352" s="243">
        <v>0</v>
      </c>
      <c r="L352" s="243">
        <v>372.26</v>
      </c>
      <c r="M352" s="243">
        <v>270.38</v>
      </c>
      <c r="N352" s="243">
        <v>642.9</v>
      </c>
      <c r="O352">
        <v>2017</v>
      </c>
      <c r="P352" s="310">
        <f t="shared" si="8"/>
        <v>12</v>
      </c>
      <c r="Q352" s="310"/>
      <c r="R352" s="244">
        <v>43067</v>
      </c>
      <c r="S352" s="240" t="str">
        <f t="shared" si="9"/>
        <v>Dec</v>
      </c>
      <c r="T352" s="230" t="s">
        <v>252</v>
      </c>
    </row>
    <row r="353" spans="1:20" x14ac:dyDescent="0.25">
      <c r="A353" s="243">
        <v>8411282000</v>
      </c>
      <c r="B353" s="240" t="str">
        <f>VLOOKUP(A353,'Energy Provider Accounts'!C:F,2,FALSE)</f>
        <v>Street Lighting #1</v>
      </c>
      <c r="C353" s="243" t="s">
        <v>230</v>
      </c>
      <c r="D353" s="244">
        <v>43131</v>
      </c>
      <c r="E353" s="244">
        <v>43097</v>
      </c>
      <c r="F353" s="243">
        <v>34</v>
      </c>
      <c r="G353" s="243" t="s">
        <v>263</v>
      </c>
      <c r="H353" s="243" t="s">
        <v>254</v>
      </c>
      <c r="I353" s="243">
        <v>3142</v>
      </c>
      <c r="J353" s="243"/>
      <c r="K353" s="243"/>
      <c r="L353" s="243">
        <v>233.44</v>
      </c>
      <c r="M353" s="243">
        <v>454.09</v>
      </c>
      <c r="N353" s="243">
        <v>687.53</v>
      </c>
      <c r="O353" s="318">
        <v>2018</v>
      </c>
      <c r="P353" s="310">
        <f t="shared" si="8"/>
        <v>1</v>
      </c>
      <c r="Q353" s="310"/>
      <c r="R353" s="244">
        <v>43462</v>
      </c>
      <c r="S353" s="261" t="str">
        <f t="shared" si="9"/>
        <v>Jan</v>
      </c>
      <c r="T353" s="230" t="s">
        <v>252</v>
      </c>
    </row>
    <row r="354" spans="1:20" x14ac:dyDescent="0.25">
      <c r="A354" s="243">
        <v>8411282000</v>
      </c>
      <c r="B354" s="240" t="str">
        <f>VLOOKUP(A354,'Energy Provider Accounts'!C:F,2,FALSE)</f>
        <v>Street Lighting #1</v>
      </c>
      <c r="C354" s="243" t="s">
        <v>230</v>
      </c>
      <c r="D354" s="244">
        <v>43159</v>
      </c>
      <c r="E354" s="244">
        <v>43131</v>
      </c>
      <c r="F354" s="243">
        <v>29</v>
      </c>
      <c r="G354" s="243" t="s">
        <v>263</v>
      </c>
      <c r="H354" s="243" t="s">
        <v>254</v>
      </c>
      <c r="I354" s="243">
        <v>2626</v>
      </c>
      <c r="J354" s="243"/>
      <c r="K354" s="243"/>
      <c r="L354" s="243">
        <v>196.08</v>
      </c>
      <c r="M354" s="243">
        <v>449.39</v>
      </c>
      <c r="N354" s="243">
        <v>645.47</v>
      </c>
      <c r="O354" s="318">
        <v>2018</v>
      </c>
      <c r="P354" s="310">
        <f t="shared" si="8"/>
        <v>2</v>
      </c>
      <c r="Q354" s="310"/>
      <c r="R354" s="244">
        <v>43121</v>
      </c>
      <c r="S354" s="261" t="str">
        <f t="shared" si="9"/>
        <v>Feb</v>
      </c>
      <c r="T354" s="230" t="s">
        <v>252</v>
      </c>
    </row>
    <row r="355" spans="1:20" x14ac:dyDescent="0.25">
      <c r="A355" s="243">
        <v>8411282000</v>
      </c>
      <c r="B355" s="240" t="str">
        <f>VLOOKUP(A355,'Energy Provider Accounts'!C:F,2,FALSE)</f>
        <v>Street Lighting #1</v>
      </c>
      <c r="C355" s="243" t="s">
        <v>230</v>
      </c>
      <c r="D355" s="244">
        <v>43188</v>
      </c>
      <c r="E355" s="244">
        <v>43159</v>
      </c>
      <c r="F355" s="243">
        <v>31</v>
      </c>
      <c r="G355" s="243" t="s">
        <v>263</v>
      </c>
      <c r="H355" s="243" t="s">
        <v>254</v>
      </c>
      <c r="I355" s="243">
        <v>2524</v>
      </c>
      <c r="J355" s="243"/>
      <c r="K355" s="243"/>
      <c r="L355" s="243">
        <v>116.25</v>
      </c>
      <c r="M355" s="243">
        <v>453.87</v>
      </c>
      <c r="N355" s="243">
        <v>570.12</v>
      </c>
      <c r="O355" s="318">
        <v>2018</v>
      </c>
      <c r="P355" s="310">
        <f t="shared" si="8"/>
        <v>3</v>
      </c>
      <c r="Q355" s="310"/>
      <c r="R355" s="244">
        <v>43159</v>
      </c>
      <c r="S355" s="261" t="str">
        <f t="shared" si="9"/>
        <v>Mar</v>
      </c>
      <c r="T355" s="230" t="s">
        <v>252</v>
      </c>
    </row>
    <row r="356" spans="1:20" x14ac:dyDescent="0.25">
      <c r="A356" s="243">
        <v>8411282000</v>
      </c>
      <c r="B356" s="240" t="str">
        <f>VLOOKUP(A356,'Energy Provider Accounts'!C:F,2,FALSE)</f>
        <v>Street Lighting #1</v>
      </c>
      <c r="C356" s="243" t="s">
        <v>230</v>
      </c>
      <c r="D356" s="244">
        <v>408462</v>
      </c>
      <c r="E356" s="244">
        <v>43188</v>
      </c>
      <c r="F356" s="243">
        <v>32</v>
      </c>
      <c r="G356" s="243" t="s">
        <v>263</v>
      </c>
      <c r="H356" s="243" t="s">
        <v>254</v>
      </c>
      <c r="I356" s="243">
        <v>2240</v>
      </c>
      <c r="J356" s="243"/>
      <c r="K356" s="243"/>
      <c r="L356" s="243">
        <v>116.16</v>
      </c>
      <c r="M356" s="243">
        <v>455.85</v>
      </c>
      <c r="N356" s="243">
        <v>572.01</v>
      </c>
      <c r="O356" s="318">
        <v>2018</v>
      </c>
      <c r="P356" s="310">
        <f t="shared" si="8"/>
        <v>4</v>
      </c>
      <c r="Q356" s="310"/>
      <c r="R356" s="244">
        <v>43188</v>
      </c>
      <c r="S356" s="261" t="str">
        <f t="shared" si="9"/>
        <v>Apr</v>
      </c>
      <c r="T356" s="230" t="s">
        <v>252</v>
      </c>
    </row>
    <row r="357" spans="1:20" x14ac:dyDescent="0.25">
      <c r="A357" s="243">
        <v>8411282000</v>
      </c>
      <c r="B357" s="240" t="str">
        <f>VLOOKUP(A357,'Energy Provider Accounts'!C:F,2,FALSE)</f>
        <v>Street Lighting #1</v>
      </c>
      <c r="C357" s="243" t="s">
        <v>230</v>
      </c>
      <c r="D357" s="244">
        <v>43252</v>
      </c>
      <c r="E357" s="244">
        <v>43220</v>
      </c>
      <c r="F357" s="243">
        <v>34</v>
      </c>
      <c r="G357" s="243" t="s">
        <v>263</v>
      </c>
      <c r="H357" s="243" t="s">
        <v>254</v>
      </c>
      <c r="I357" s="243">
        <v>2011</v>
      </c>
      <c r="J357" s="243"/>
      <c r="K357" s="243"/>
      <c r="L357" s="243">
        <v>129.58000000000001</v>
      </c>
      <c r="M357" s="243">
        <v>450.05</v>
      </c>
      <c r="N357" s="243">
        <v>579.63</v>
      </c>
      <c r="O357" s="318">
        <v>2018</v>
      </c>
      <c r="P357" s="310">
        <v>5</v>
      </c>
      <c r="Q357" s="310"/>
      <c r="R357" s="244">
        <v>43220</v>
      </c>
      <c r="S357" s="261" t="str">
        <f t="shared" si="9"/>
        <v>May</v>
      </c>
      <c r="T357" s="230" t="s">
        <v>252</v>
      </c>
    </row>
    <row r="358" spans="1:20" x14ac:dyDescent="0.25">
      <c r="A358" s="243">
        <v>8411282000</v>
      </c>
      <c r="B358" s="240" t="str">
        <f>VLOOKUP(A358,'Energy Provider Accounts'!C:F,2,FALSE)</f>
        <v>Street Lighting #1</v>
      </c>
      <c r="C358" s="243" t="s">
        <v>230</v>
      </c>
      <c r="D358" s="244">
        <v>43280</v>
      </c>
      <c r="E358" s="244">
        <v>43252</v>
      </c>
      <c r="F358" s="243">
        <v>29</v>
      </c>
      <c r="G358" s="243" t="s">
        <v>263</v>
      </c>
      <c r="H358" s="243" t="s">
        <v>254</v>
      </c>
      <c r="I358" s="243">
        <v>1785</v>
      </c>
      <c r="J358" s="243"/>
      <c r="K358" s="243"/>
      <c r="L358" s="243">
        <v>102.75</v>
      </c>
      <c r="M358" s="249">
        <v>447.3</v>
      </c>
      <c r="N358" s="249">
        <v>550.04999999999995</v>
      </c>
      <c r="O358" s="318">
        <v>2018</v>
      </c>
      <c r="P358" s="310">
        <v>6</v>
      </c>
      <c r="Q358" s="310"/>
      <c r="R358" s="244">
        <v>43252</v>
      </c>
      <c r="S358" s="261" t="str">
        <f t="shared" si="9"/>
        <v>Jun</v>
      </c>
      <c r="T358" s="230" t="s">
        <v>252</v>
      </c>
    </row>
    <row r="359" spans="1:20" x14ac:dyDescent="0.25">
      <c r="A359" s="243">
        <v>8411282000</v>
      </c>
      <c r="B359" s="240" t="str">
        <f>VLOOKUP(A359,'Energy Provider Accounts'!C:F,2,FALSE)</f>
        <v>Street Lighting #1</v>
      </c>
      <c r="C359" s="243" t="s">
        <v>230</v>
      </c>
      <c r="D359" s="244">
        <v>43312</v>
      </c>
      <c r="E359" s="244">
        <v>43280</v>
      </c>
      <c r="F359" s="243">
        <v>33</v>
      </c>
      <c r="G359" s="243" t="s">
        <v>263</v>
      </c>
      <c r="H359" s="243" t="s">
        <v>254</v>
      </c>
      <c r="I359" s="243">
        <v>1941</v>
      </c>
      <c r="J359" s="243"/>
      <c r="K359" s="243"/>
      <c r="L359" s="243">
        <v>93.44</v>
      </c>
      <c r="M359" s="243">
        <v>467.15</v>
      </c>
      <c r="N359" s="243">
        <v>560.59</v>
      </c>
      <c r="O359" s="318">
        <v>2018</v>
      </c>
      <c r="P359" s="310">
        <v>7</v>
      </c>
      <c r="Q359" s="310"/>
      <c r="R359" s="244">
        <v>43280</v>
      </c>
      <c r="S359" s="240" t="s">
        <v>87</v>
      </c>
      <c r="T359" s="230" t="s">
        <v>252</v>
      </c>
    </row>
    <row r="360" spans="1:20" x14ac:dyDescent="0.25">
      <c r="A360" s="243">
        <v>8411282000</v>
      </c>
      <c r="B360" s="240" t="str">
        <f>VLOOKUP(A360,'Energy Provider Accounts'!C:F,2,FALSE)</f>
        <v>Street Lighting #1</v>
      </c>
      <c r="C360" s="243" t="s">
        <v>230</v>
      </c>
      <c r="D360" s="244">
        <v>43343</v>
      </c>
      <c r="E360" s="244">
        <v>43312</v>
      </c>
      <c r="F360" s="243">
        <v>32</v>
      </c>
      <c r="G360" s="243" t="s">
        <v>263</v>
      </c>
      <c r="H360" s="243" t="s">
        <v>254</v>
      </c>
      <c r="I360" s="243">
        <v>2170</v>
      </c>
      <c r="J360" s="243"/>
      <c r="K360" s="243"/>
      <c r="L360" s="243">
        <v>136.77000000000001</v>
      </c>
      <c r="M360" s="243">
        <v>461.87</v>
      </c>
      <c r="N360" s="243">
        <v>598.64</v>
      </c>
      <c r="O360" s="318">
        <v>2018</v>
      </c>
      <c r="P360" s="310">
        <v>8</v>
      </c>
      <c r="Q360" s="310"/>
      <c r="R360" s="244">
        <v>43312</v>
      </c>
      <c r="S360" s="240" t="s">
        <v>88</v>
      </c>
      <c r="T360" s="230" t="s">
        <v>252</v>
      </c>
    </row>
    <row r="361" spans="1:20" x14ac:dyDescent="0.25">
      <c r="A361" s="243">
        <v>8411282000</v>
      </c>
      <c r="B361" s="240" t="str">
        <f>VLOOKUP(A361,'Energy Provider Accounts'!C:F,2,FALSE)</f>
        <v>Street Lighting #1</v>
      </c>
      <c r="C361" s="243" t="s">
        <v>230</v>
      </c>
      <c r="D361" s="244">
        <v>43371</v>
      </c>
      <c r="E361" s="244">
        <v>43343</v>
      </c>
      <c r="F361" s="243">
        <v>30</v>
      </c>
      <c r="G361" s="243" t="s">
        <v>263</v>
      </c>
      <c r="H361" s="243" t="s">
        <v>254</v>
      </c>
      <c r="I361" s="243">
        <v>2402</v>
      </c>
      <c r="J361" s="243"/>
      <c r="K361" s="243"/>
      <c r="L361" s="243">
        <v>195.65</v>
      </c>
      <c r="M361" s="243">
        <v>455.68</v>
      </c>
      <c r="N361" s="243">
        <v>651.33000000000004</v>
      </c>
      <c r="O361" s="318">
        <v>2018</v>
      </c>
      <c r="P361" s="310">
        <v>9</v>
      </c>
      <c r="Q361" s="310"/>
      <c r="R361" s="244">
        <v>43343</v>
      </c>
      <c r="S361" s="240" t="s">
        <v>89</v>
      </c>
      <c r="T361" s="230" t="s">
        <v>252</v>
      </c>
    </row>
    <row r="362" spans="1:20" x14ac:dyDescent="0.25">
      <c r="A362" s="243">
        <v>8411282000</v>
      </c>
      <c r="B362" s="240" t="str">
        <f>VLOOKUP(A362,'Energy Provider Accounts'!C:F,2,FALSE)</f>
        <v>Street Lighting #1</v>
      </c>
      <c r="C362" s="243" t="s">
        <v>230</v>
      </c>
      <c r="D362" s="244">
        <v>43404</v>
      </c>
      <c r="E362" s="244">
        <v>43371</v>
      </c>
      <c r="F362" s="243">
        <v>34</v>
      </c>
      <c r="G362" s="243" t="s">
        <v>263</v>
      </c>
      <c r="H362" s="243" t="s">
        <v>254</v>
      </c>
      <c r="I362" s="243">
        <v>2759</v>
      </c>
      <c r="J362" s="243"/>
      <c r="K362" s="243"/>
      <c r="L362" s="243">
        <v>208.99</v>
      </c>
      <c r="M362" s="243">
        <v>461.09</v>
      </c>
      <c r="N362" s="243">
        <v>670.08</v>
      </c>
      <c r="O362" s="318">
        <v>2018</v>
      </c>
      <c r="P362" s="310">
        <v>10</v>
      </c>
      <c r="Q362" s="310"/>
      <c r="R362" s="244">
        <v>43371</v>
      </c>
      <c r="S362" s="261" t="s">
        <v>90</v>
      </c>
      <c r="T362" s="230" t="s">
        <v>252</v>
      </c>
    </row>
    <row r="363" spans="1:20" x14ac:dyDescent="0.25">
      <c r="A363" s="243">
        <v>8411282000</v>
      </c>
      <c r="B363" s="240" t="str">
        <f>VLOOKUP(A363,'Energy Provider Accounts'!C:F,2,FALSE)</f>
        <v>Street Lighting #1</v>
      </c>
      <c r="C363" s="243" t="s">
        <v>230</v>
      </c>
      <c r="D363" s="244">
        <v>43434</v>
      </c>
      <c r="E363" s="244">
        <v>43404</v>
      </c>
      <c r="F363" s="243">
        <v>31</v>
      </c>
      <c r="G363" s="243" t="s">
        <v>263</v>
      </c>
      <c r="H363" s="243" t="s">
        <v>254</v>
      </c>
      <c r="I363" s="243">
        <v>2978</v>
      </c>
      <c r="J363" s="243"/>
      <c r="K363" s="243"/>
      <c r="L363" s="243">
        <v>135.22999999999999</v>
      </c>
      <c r="M363" s="243">
        <v>456.84</v>
      </c>
      <c r="N363" s="243">
        <v>592.07000000000005</v>
      </c>
      <c r="O363" s="318">
        <v>2018</v>
      </c>
      <c r="P363" s="310">
        <v>11</v>
      </c>
      <c r="Q363" s="310"/>
      <c r="R363" s="244">
        <v>43404</v>
      </c>
      <c r="S363" s="261" t="s">
        <v>91</v>
      </c>
      <c r="T363" s="230" t="s">
        <v>252</v>
      </c>
    </row>
    <row r="364" spans="1:20" x14ac:dyDescent="0.25">
      <c r="A364" s="243">
        <v>8411282000</v>
      </c>
      <c r="B364" s="240" t="str">
        <f>VLOOKUP(A364,'Energy Provider Accounts'!C:F,2,FALSE)</f>
        <v>Street Lighting #1</v>
      </c>
      <c r="C364" s="243" t="s">
        <v>230</v>
      </c>
      <c r="D364" s="244">
        <v>43465</v>
      </c>
      <c r="E364" s="244">
        <v>43434</v>
      </c>
      <c r="F364" s="243">
        <v>32</v>
      </c>
      <c r="G364" s="243" t="s">
        <v>263</v>
      </c>
      <c r="H364" s="243" t="s">
        <v>254</v>
      </c>
      <c r="I364" s="243">
        <v>3275</v>
      </c>
      <c r="J364" s="243"/>
      <c r="K364" s="243"/>
      <c r="L364" s="243">
        <v>112.37</v>
      </c>
      <c r="M364" s="243">
        <v>442.41</v>
      </c>
      <c r="N364" s="243">
        <v>554.78</v>
      </c>
      <c r="O364" s="318">
        <v>2018</v>
      </c>
      <c r="P364" s="310">
        <v>12</v>
      </c>
      <c r="Q364" s="310"/>
      <c r="R364" s="244">
        <v>43434</v>
      </c>
      <c r="S364" s="261" t="s">
        <v>92</v>
      </c>
      <c r="T364" s="230" t="s">
        <v>252</v>
      </c>
    </row>
    <row r="365" spans="1:20" x14ac:dyDescent="0.25">
      <c r="A365" s="243">
        <v>8411280000</v>
      </c>
      <c r="B365" s="240" t="str">
        <f>VLOOKUP(A365,'Energy Provider Accounts'!C:F,2,FALSE)</f>
        <v>Street Lighting #2</v>
      </c>
      <c r="C365" s="243" t="s">
        <v>230</v>
      </c>
      <c r="D365" s="244">
        <v>42034</v>
      </c>
      <c r="E365" s="248">
        <v>42005</v>
      </c>
      <c r="F365" s="243">
        <v>30</v>
      </c>
      <c r="G365" s="243" t="s">
        <v>251</v>
      </c>
      <c r="H365" s="243" t="s">
        <v>254</v>
      </c>
      <c r="I365" s="243">
        <v>1044</v>
      </c>
      <c r="J365" s="250"/>
      <c r="K365" s="250"/>
      <c r="L365" s="243">
        <v>80.42</v>
      </c>
      <c r="M365" s="243">
        <v>279.32</v>
      </c>
      <c r="N365" s="243">
        <v>359.74</v>
      </c>
      <c r="O365">
        <v>2015</v>
      </c>
      <c r="P365" s="310">
        <f t="shared" si="8"/>
        <v>1</v>
      </c>
      <c r="Q365" s="310"/>
      <c r="R365" s="248">
        <v>42005</v>
      </c>
      <c r="S365" s="240" t="str">
        <f t="shared" si="9"/>
        <v>Jan</v>
      </c>
      <c r="T365" s="230" t="s">
        <v>252</v>
      </c>
    </row>
    <row r="366" spans="1:20" x14ac:dyDescent="0.25">
      <c r="A366" s="243">
        <v>8411280000</v>
      </c>
      <c r="B366" s="240" t="str">
        <f>VLOOKUP(A366,'Energy Provider Accounts'!C:F,2,FALSE)</f>
        <v>Street Lighting #2</v>
      </c>
      <c r="C366" s="243" t="s">
        <v>230</v>
      </c>
      <c r="D366" s="244">
        <v>42058</v>
      </c>
      <c r="E366" s="248">
        <v>42036</v>
      </c>
      <c r="F366" s="243">
        <v>24</v>
      </c>
      <c r="G366" s="243" t="s">
        <v>251</v>
      </c>
      <c r="H366" s="243" t="s">
        <v>254</v>
      </c>
      <c r="I366" s="243">
        <v>871</v>
      </c>
      <c r="J366" s="250"/>
      <c r="K366" s="250"/>
      <c r="L366" s="243">
        <v>78.02</v>
      </c>
      <c r="M366" s="243">
        <v>276.43</v>
      </c>
      <c r="N366" s="243">
        <v>354.45</v>
      </c>
      <c r="O366">
        <v>2015</v>
      </c>
      <c r="P366" s="310">
        <f t="shared" si="8"/>
        <v>2</v>
      </c>
      <c r="Q366" s="310"/>
      <c r="R366" s="248">
        <v>42036</v>
      </c>
      <c r="S366" s="240" t="str">
        <f t="shared" si="9"/>
        <v>Feb</v>
      </c>
      <c r="T366" s="230" t="s">
        <v>255</v>
      </c>
    </row>
    <row r="367" spans="1:20" x14ac:dyDescent="0.25">
      <c r="A367" s="243">
        <v>8411280000</v>
      </c>
      <c r="B367" s="240" t="str">
        <f>VLOOKUP(A367,'Energy Provider Accounts'!C:F,2,FALSE)</f>
        <v>Street Lighting #2</v>
      </c>
      <c r="C367" s="243" t="s">
        <v>230</v>
      </c>
      <c r="D367" s="244">
        <v>42094</v>
      </c>
      <c r="E367" s="248">
        <v>42058</v>
      </c>
      <c r="F367" s="243">
        <v>36</v>
      </c>
      <c r="G367" s="243" t="s">
        <v>251</v>
      </c>
      <c r="H367" s="243" t="s">
        <v>254</v>
      </c>
      <c r="I367" s="243">
        <v>843</v>
      </c>
      <c r="J367" s="250"/>
      <c r="K367" s="250"/>
      <c r="L367" s="243">
        <v>92.51</v>
      </c>
      <c r="M367" s="243">
        <v>273.58999999999997</v>
      </c>
      <c r="N367" s="243">
        <v>366.1</v>
      </c>
      <c r="O367">
        <v>2015</v>
      </c>
      <c r="P367" s="310">
        <f t="shared" si="8"/>
        <v>3</v>
      </c>
      <c r="Q367" s="310"/>
      <c r="R367" s="248">
        <v>42058</v>
      </c>
      <c r="S367" s="240" t="str">
        <f t="shared" si="9"/>
        <v>Mar</v>
      </c>
      <c r="T367" s="230" t="s">
        <v>255</v>
      </c>
    </row>
    <row r="368" spans="1:20" x14ac:dyDescent="0.25">
      <c r="A368" s="243">
        <v>8411280000</v>
      </c>
      <c r="B368" s="240" t="str">
        <f>VLOOKUP(A368,'Energy Provider Accounts'!C:F,2,FALSE)</f>
        <v>Street Lighting #2</v>
      </c>
      <c r="C368" s="243" t="s">
        <v>230</v>
      </c>
      <c r="D368" s="244">
        <v>42124</v>
      </c>
      <c r="E368" s="244">
        <v>42096</v>
      </c>
      <c r="F368" s="243">
        <v>30</v>
      </c>
      <c r="G368" s="243" t="s">
        <v>251</v>
      </c>
      <c r="H368" s="243" t="s">
        <v>254</v>
      </c>
      <c r="I368" s="243">
        <v>1099</v>
      </c>
      <c r="J368" s="250"/>
      <c r="K368" s="250"/>
      <c r="L368" s="243">
        <v>64.36</v>
      </c>
      <c r="M368" s="243">
        <v>277.18</v>
      </c>
      <c r="N368" s="243">
        <v>341.54</v>
      </c>
      <c r="O368">
        <v>2015</v>
      </c>
      <c r="P368" s="310">
        <f t="shared" si="8"/>
        <v>4</v>
      </c>
      <c r="Q368" s="310"/>
      <c r="R368" s="244">
        <v>42096</v>
      </c>
      <c r="S368" s="240" t="str">
        <f t="shared" si="9"/>
        <v>Apr</v>
      </c>
      <c r="T368" s="230" t="s">
        <v>255</v>
      </c>
    </row>
    <row r="369" spans="1:20" x14ac:dyDescent="0.25">
      <c r="A369" s="243">
        <v>8411280000</v>
      </c>
      <c r="B369" s="240" t="str">
        <f>VLOOKUP(A369,'Energy Provider Accounts'!C:F,2,FALSE)</f>
        <v>Street Lighting #2</v>
      </c>
      <c r="C369" s="243" t="s">
        <v>230</v>
      </c>
      <c r="D369" s="244">
        <v>42153</v>
      </c>
      <c r="E369" s="244">
        <v>42125</v>
      </c>
      <c r="F369" s="243">
        <v>29</v>
      </c>
      <c r="G369" s="243" t="s">
        <v>251</v>
      </c>
      <c r="H369" s="243" t="s">
        <v>254</v>
      </c>
      <c r="I369" s="243">
        <v>668</v>
      </c>
      <c r="J369" s="250"/>
      <c r="K369" s="250"/>
      <c r="L369" s="243">
        <v>18.88</v>
      </c>
      <c r="M369" s="243">
        <v>278.39</v>
      </c>
      <c r="N369" s="243">
        <v>297.27</v>
      </c>
      <c r="O369">
        <v>2015</v>
      </c>
      <c r="P369" s="310">
        <f t="shared" si="8"/>
        <v>5</v>
      </c>
      <c r="Q369" s="310"/>
      <c r="R369" s="244">
        <v>42125</v>
      </c>
      <c r="S369" s="240" t="str">
        <f t="shared" si="9"/>
        <v>May</v>
      </c>
      <c r="T369" s="230" t="s">
        <v>255</v>
      </c>
    </row>
    <row r="370" spans="1:20" x14ac:dyDescent="0.25">
      <c r="A370" s="243">
        <v>8411280000</v>
      </c>
      <c r="B370" s="240" t="str">
        <f>VLOOKUP(A370,'Energy Provider Accounts'!C:F,2,FALSE)</f>
        <v>Street Lighting #2</v>
      </c>
      <c r="C370" s="243" t="s">
        <v>230</v>
      </c>
      <c r="D370" s="244">
        <v>42185</v>
      </c>
      <c r="E370" s="244">
        <v>42158</v>
      </c>
      <c r="F370" s="243">
        <v>32</v>
      </c>
      <c r="G370" s="243" t="s">
        <v>251</v>
      </c>
      <c r="H370" s="243" t="s">
        <v>254</v>
      </c>
      <c r="I370" s="243">
        <v>605</v>
      </c>
      <c r="J370" s="250"/>
      <c r="K370" s="250"/>
      <c r="L370" s="243">
        <v>24.59</v>
      </c>
      <c r="M370" s="243">
        <v>274.73</v>
      </c>
      <c r="N370" s="243">
        <v>299.32</v>
      </c>
      <c r="O370">
        <v>2015</v>
      </c>
      <c r="P370" s="310">
        <f t="shared" si="8"/>
        <v>6</v>
      </c>
      <c r="Q370" s="310"/>
      <c r="R370" s="244">
        <v>42158</v>
      </c>
      <c r="S370" s="240" t="str">
        <f t="shared" si="9"/>
        <v>Jun</v>
      </c>
      <c r="T370" s="230" t="s">
        <v>255</v>
      </c>
    </row>
    <row r="371" spans="1:20" x14ac:dyDescent="0.25">
      <c r="A371" s="243">
        <v>8411280000</v>
      </c>
      <c r="B371" s="240" t="str">
        <f>VLOOKUP(A371,'Energy Provider Accounts'!C:F,2,FALSE)</f>
        <v>Street Lighting #2</v>
      </c>
      <c r="C371" s="243" t="s">
        <v>230</v>
      </c>
      <c r="D371" s="244">
        <v>42216</v>
      </c>
      <c r="E371" s="244">
        <v>42186</v>
      </c>
      <c r="F371" s="243">
        <v>31</v>
      </c>
      <c r="G371" s="243" t="s">
        <v>251</v>
      </c>
      <c r="H371" s="243" t="s">
        <v>254</v>
      </c>
      <c r="I371" s="243">
        <v>641</v>
      </c>
      <c r="J371" s="250"/>
      <c r="K371" s="250"/>
      <c r="L371" s="243">
        <v>32.270000000000003</v>
      </c>
      <c r="M371" s="243">
        <v>282.89</v>
      </c>
      <c r="N371" s="243">
        <v>314.95999999999998</v>
      </c>
      <c r="O371">
        <v>2015</v>
      </c>
      <c r="P371" s="310">
        <f t="shared" si="8"/>
        <v>7</v>
      </c>
      <c r="Q371" s="310"/>
      <c r="R371" s="244">
        <v>42186</v>
      </c>
      <c r="S371" s="240" t="str">
        <f t="shared" si="9"/>
        <v>Jul</v>
      </c>
      <c r="T371" s="230" t="s">
        <v>255</v>
      </c>
    </row>
    <row r="372" spans="1:20" x14ac:dyDescent="0.25">
      <c r="A372" s="243">
        <v>8411280000</v>
      </c>
      <c r="B372" s="240" t="str">
        <f>VLOOKUP(A372,'Energy Provider Accounts'!C:F,2,FALSE)</f>
        <v>Street Lighting #2</v>
      </c>
      <c r="C372" s="243" t="s">
        <v>230</v>
      </c>
      <c r="D372" s="244">
        <v>42247</v>
      </c>
      <c r="E372" s="244">
        <v>42216</v>
      </c>
      <c r="F372" s="243">
        <v>31</v>
      </c>
      <c r="G372" s="243" t="s">
        <v>251</v>
      </c>
      <c r="H372" s="243" t="s">
        <v>254</v>
      </c>
      <c r="I372" s="243">
        <v>724</v>
      </c>
      <c r="J372" s="250"/>
      <c r="K372" s="250"/>
      <c r="L372" s="243">
        <v>45.2</v>
      </c>
      <c r="M372" s="243">
        <v>281.27</v>
      </c>
      <c r="N372" s="243">
        <v>326.47000000000003</v>
      </c>
      <c r="O372">
        <v>2015</v>
      </c>
      <c r="P372" s="310">
        <f t="shared" si="8"/>
        <v>8</v>
      </c>
      <c r="Q372" s="310"/>
      <c r="R372" s="244">
        <v>42216</v>
      </c>
      <c r="S372" s="240" t="str">
        <f t="shared" si="9"/>
        <v>Aug</v>
      </c>
      <c r="T372" s="230" t="s">
        <v>255</v>
      </c>
    </row>
    <row r="373" spans="1:20" x14ac:dyDescent="0.25">
      <c r="A373" s="243">
        <v>8411280000</v>
      </c>
      <c r="B373" s="240" t="str">
        <f>VLOOKUP(A373,'Energy Provider Accounts'!C:F,2,FALSE)</f>
        <v>Street Lighting #2</v>
      </c>
      <c r="C373" s="243" t="s">
        <v>230</v>
      </c>
      <c r="D373" s="244">
        <v>42277</v>
      </c>
      <c r="E373" s="244">
        <v>42248</v>
      </c>
      <c r="F373" s="243">
        <v>31</v>
      </c>
      <c r="G373" s="243" t="s">
        <v>251</v>
      </c>
      <c r="H373" s="243" t="s">
        <v>254</v>
      </c>
      <c r="I373" s="243">
        <v>808</v>
      </c>
      <c r="J373" s="250"/>
      <c r="K373" s="250"/>
      <c r="L373" s="243">
        <v>54.05</v>
      </c>
      <c r="M373" s="243">
        <v>282.43</v>
      </c>
      <c r="N373" s="243">
        <v>336.48</v>
      </c>
      <c r="O373">
        <v>2015</v>
      </c>
      <c r="P373" s="310">
        <f t="shared" si="8"/>
        <v>9</v>
      </c>
      <c r="Q373" s="310"/>
      <c r="R373" s="244">
        <v>42248</v>
      </c>
      <c r="S373" s="240" t="str">
        <f t="shared" si="9"/>
        <v>Sep</v>
      </c>
      <c r="T373" s="230" t="s">
        <v>255</v>
      </c>
    </row>
    <row r="374" spans="1:20" x14ac:dyDescent="0.25">
      <c r="A374" s="243">
        <v>8411280000</v>
      </c>
      <c r="B374" s="240" t="str">
        <f>VLOOKUP(A374,'Energy Provider Accounts'!C:F,2,FALSE)</f>
        <v>Street Lighting #2</v>
      </c>
      <c r="C374" s="243" t="s">
        <v>230</v>
      </c>
      <c r="D374" s="244">
        <v>42307</v>
      </c>
      <c r="E374" s="244">
        <v>42277</v>
      </c>
      <c r="F374" s="243">
        <v>30</v>
      </c>
      <c r="G374" s="243" t="s">
        <v>251</v>
      </c>
      <c r="H374" s="243" t="s">
        <v>254</v>
      </c>
      <c r="I374" s="243">
        <v>925</v>
      </c>
      <c r="J374" s="250"/>
      <c r="K374" s="250"/>
      <c r="L374" s="243">
        <v>58.14</v>
      </c>
      <c r="M374" s="243">
        <v>281.72000000000003</v>
      </c>
      <c r="N374" s="243">
        <v>339.86</v>
      </c>
      <c r="O374">
        <v>2015</v>
      </c>
      <c r="P374" s="310">
        <f t="shared" si="8"/>
        <v>10</v>
      </c>
      <c r="Q374" s="310"/>
      <c r="R374" s="244">
        <v>42277</v>
      </c>
      <c r="S374" s="240" t="str">
        <f t="shared" si="9"/>
        <v>Oct</v>
      </c>
      <c r="T374" s="230" t="s">
        <v>255</v>
      </c>
    </row>
    <row r="375" spans="1:20" x14ac:dyDescent="0.25">
      <c r="A375" s="243">
        <v>8411280000</v>
      </c>
      <c r="B375" s="240" t="str">
        <f>VLOOKUP(A375,'Energy Provider Accounts'!C:F,2,FALSE)</f>
        <v>Street Lighting #2</v>
      </c>
      <c r="C375" s="243" t="s">
        <v>230</v>
      </c>
      <c r="D375" s="244">
        <v>42338</v>
      </c>
      <c r="E375" s="244">
        <v>42306</v>
      </c>
      <c r="F375" s="243">
        <v>31</v>
      </c>
      <c r="G375" s="243" t="s">
        <v>251</v>
      </c>
      <c r="H375" s="243" t="s">
        <v>254</v>
      </c>
      <c r="I375" s="243">
        <v>988</v>
      </c>
      <c r="J375" s="250"/>
      <c r="K375" s="250"/>
      <c r="L375" s="243">
        <v>44.98</v>
      </c>
      <c r="M375" s="243">
        <v>282.43</v>
      </c>
      <c r="N375" s="243">
        <v>327.41000000000003</v>
      </c>
      <c r="O375">
        <v>2015</v>
      </c>
      <c r="P375" s="310">
        <f t="shared" si="8"/>
        <v>11</v>
      </c>
      <c r="Q375" s="310"/>
      <c r="R375" s="244">
        <v>42306</v>
      </c>
      <c r="S375" s="240" t="str">
        <f t="shared" si="9"/>
        <v>Nov</v>
      </c>
      <c r="T375" s="230" t="s">
        <v>255</v>
      </c>
    </row>
    <row r="376" spans="1:20" x14ac:dyDescent="0.25">
      <c r="A376" s="243">
        <v>8411280000</v>
      </c>
      <c r="B376" s="240" t="str">
        <f>VLOOKUP(A376,'Energy Provider Accounts'!C:F,2,FALSE)</f>
        <v>Street Lighting #2</v>
      </c>
      <c r="C376" s="243" t="s">
        <v>230</v>
      </c>
      <c r="D376" s="244">
        <v>42368</v>
      </c>
      <c r="E376" s="244">
        <v>42339</v>
      </c>
      <c r="F376" s="243">
        <v>30</v>
      </c>
      <c r="G376" s="243" t="s">
        <v>251</v>
      </c>
      <c r="H376" s="243" t="s">
        <v>254</v>
      </c>
      <c r="I376" s="243">
        <v>1099</v>
      </c>
      <c r="J376" s="250"/>
      <c r="K376" s="250"/>
      <c r="L376" s="243">
        <v>37.22</v>
      </c>
      <c r="M376" s="243">
        <v>279.38</v>
      </c>
      <c r="N376" s="243">
        <v>316.60000000000002</v>
      </c>
      <c r="O376">
        <v>2015</v>
      </c>
      <c r="P376" s="310">
        <f t="shared" si="8"/>
        <v>12</v>
      </c>
      <c r="Q376" s="310"/>
      <c r="R376" s="244">
        <v>42339</v>
      </c>
      <c r="S376" s="240" t="str">
        <f t="shared" si="9"/>
        <v>Dec</v>
      </c>
      <c r="T376" s="230" t="s">
        <v>255</v>
      </c>
    </row>
    <row r="377" spans="1:20" x14ac:dyDescent="0.25">
      <c r="A377" s="243">
        <v>8411280000</v>
      </c>
      <c r="B377" s="240" t="str">
        <f>VLOOKUP(A377,'Energy Provider Accounts'!C:F,2,FALSE)</f>
        <v>Street Lighting #2</v>
      </c>
      <c r="C377" s="243" t="s">
        <v>230</v>
      </c>
      <c r="D377" s="244">
        <v>42398</v>
      </c>
      <c r="E377" s="244">
        <v>42368</v>
      </c>
      <c r="F377" s="243">
        <v>30</v>
      </c>
      <c r="G377" s="243" t="s">
        <v>253</v>
      </c>
      <c r="H377" s="243" t="s">
        <v>254</v>
      </c>
      <c r="I377" s="243">
        <v>1044</v>
      </c>
      <c r="J377" s="243">
        <v>0</v>
      </c>
      <c r="K377" s="243">
        <v>0</v>
      </c>
      <c r="L377" s="243">
        <v>110.53</v>
      </c>
      <c r="M377" s="243">
        <v>226.83</v>
      </c>
      <c r="N377" s="243">
        <v>337.46</v>
      </c>
      <c r="O377">
        <v>2016</v>
      </c>
      <c r="P377" s="310">
        <f t="shared" si="8"/>
        <v>1</v>
      </c>
      <c r="Q377" s="310"/>
      <c r="R377" s="244">
        <v>42368</v>
      </c>
      <c r="S377" s="240" t="str">
        <f t="shared" si="9"/>
        <v>Jan</v>
      </c>
      <c r="T377" s="230" t="s">
        <v>255</v>
      </c>
    </row>
    <row r="378" spans="1:20" x14ac:dyDescent="0.25">
      <c r="A378" s="243">
        <v>8411280000</v>
      </c>
      <c r="B378" s="240" t="str">
        <f>VLOOKUP(A378,'Energy Provider Accounts'!C:F,2,FALSE)</f>
        <v>Street Lighting #2</v>
      </c>
      <c r="C378" s="243" t="s">
        <v>230</v>
      </c>
      <c r="D378" s="244">
        <v>42430</v>
      </c>
      <c r="E378" s="244">
        <v>42400</v>
      </c>
      <c r="F378" s="243">
        <v>30</v>
      </c>
      <c r="G378" s="243" t="s">
        <v>253</v>
      </c>
      <c r="H378" s="243" t="s">
        <v>254</v>
      </c>
      <c r="I378" s="243">
        <v>871</v>
      </c>
      <c r="J378" s="243">
        <v>0</v>
      </c>
      <c r="K378" s="243">
        <v>0</v>
      </c>
      <c r="L378" s="243">
        <v>116.57</v>
      </c>
      <c r="M378" s="243">
        <v>223.66</v>
      </c>
      <c r="N378" s="243">
        <v>340.4</v>
      </c>
      <c r="O378">
        <v>2016</v>
      </c>
      <c r="P378" s="310">
        <f t="shared" si="8"/>
        <v>3</v>
      </c>
      <c r="Q378" s="310"/>
      <c r="R378" s="244">
        <v>42400</v>
      </c>
      <c r="S378" s="240" t="s">
        <v>82</v>
      </c>
      <c r="T378" s="230" t="s">
        <v>255</v>
      </c>
    </row>
    <row r="379" spans="1:20" x14ac:dyDescent="0.25">
      <c r="A379" s="243">
        <v>8411280000</v>
      </c>
      <c r="B379" s="240" t="str">
        <f>VLOOKUP(A379,'Energy Provider Accounts'!C:F,2,FALSE)</f>
        <v>Street Lighting #2</v>
      </c>
      <c r="C379" s="243" t="s">
        <v>230</v>
      </c>
      <c r="D379" s="244">
        <v>42459</v>
      </c>
      <c r="E379" s="244">
        <v>42429</v>
      </c>
      <c r="F379" s="243">
        <v>30</v>
      </c>
      <c r="G379" s="243" t="s">
        <v>253</v>
      </c>
      <c r="H379" s="243" t="s">
        <v>254</v>
      </c>
      <c r="I379" s="243">
        <v>843</v>
      </c>
      <c r="J379" s="243">
        <v>0</v>
      </c>
      <c r="K379" s="243">
        <v>0</v>
      </c>
      <c r="L379" s="243">
        <v>105.92</v>
      </c>
      <c r="M379" s="243">
        <v>231.88</v>
      </c>
      <c r="N379" s="243">
        <v>337.97</v>
      </c>
      <c r="O379">
        <v>2016</v>
      </c>
      <c r="P379" s="310">
        <f t="shared" si="8"/>
        <v>3</v>
      </c>
      <c r="Q379" s="310"/>
      <c r="R379" s="244">
        <v>42429</v>
      </c>
      <c r="S379" s="240" t="str">
        <f t="shared" si="9"/>
        <v>Mar</v>
      </c>
      <c r="T379" s="230" t="s">
        <v>255</v>
      </c>
    </row>
    <row r="380" spans="1:20" x14ac:dyDescent="0.25">
      <c r="A380" s="243">
        <v>8411280000</v>
      </c>
      <c r="B380" s="240" t="str">
        <f>VLOOKUP(A380,'Energy Provider Accounts'!C:F,2,FALSE)</f>
        <v>Street Lighting #2</v>
      </c>
      <c r="C380" s="243" t="s">
        <v>230</v>
      </c>
      <c r="D380" s="244">
        <v>42488</v>
      </c>
      <c r="E380" s="244">
        <v>42458</v>
      </c>
      <c r="F380" s="243">
        <v>30</v>
      </c>
      <c r="G380" s="243" t="s">
        <v>253</v>
      </c>
      <c r="H380" s="243" t="s">
        <v>254</v>
      </c>
      <c r="I380" s="243">
        <v>752</v>
      </c>
      <c r="J380" s="243">
        <v>0</v>
      </c>
      <c r="K380" s="243">
        <v>0</v>
      </c>
      <c r="L380" s="243">
        <v>86.18</v>
      </c>
      <c r="M380" s="243">
        <v>239.68</v>
      </c>
      <c r="N380" s="243">
        <v>325.97000000000003</v>
      </c>
      <c r="O380">
        <v>2016</v>
      </c>
      <c r="P380" s="310">
        <f t="shared" si="8"/>
        <v>4</v>
      </c>
      <c r="Q380" s="310"/>
      <c r="R380" s="244">
        <v>42458</v>
      </c>
      <c r="S380" s="240" t="str">
        <f t="shared" si="9"/>
        <v>Apr</v>
      </c>
      <c r="T380" s="230" t="s">
        <v>255</v>
      </c>
    </row>
    <row r="381" spans="1:20" x14ac:dyDescent="0.25">
      <c r="A381" s="243">
        <v>8411280000</v>
      </c>
      <c r="B381" s="240" t="str">
        <f>VLOOKUP(A381,'Energy Provider Accounts'!C:F,2,FALSE)</f>
        <v>Street Lighting #2</v>
      </c>
      <c r="C381" s="243" t="s">
        <v>230</v>
      </c>
      <c r="D381" s="244">
        <v>42517</v>
      </c>
      <c r="E381" s="244">
        <v>42487</v>
      </c>
      <c r="F381" s="243">
        <v>30</v>
      </c>
      <c r="G381" s="243" t="s">
        <v>253</v>
      </c>
      <c r="H381" s="243" t="s">
        <v>254</v>
      </c>
      <c r="I381" s="243">
        <v>669</v>
      </c>
      <c r="J381" s="243">
        <v>0</v>
      </c>
      <c r="K381" s="243">
        <v>0</v>
      </c>
      <c r="L381" s="243">
        <v>59.29</v>
      </c>
      <c r="M381" s="243">
        <v>253.06</v>
      </c>
      <c r="N381" s="243">
        <v>312.45999999999998</v>
      </c>
      <c r="O381">
        <v>2016</v>
      </c>
      <c r="P381" s="310">
        <f t="shared" si="8"/>
        <v>5</v>
      </c>
      <c r="Q381" s="310"/>
      <c r="R381" s="244">
        <v>42487</v>
      </c>
      <c r="S381" s="240" t="str">
        <f t="shared" si="9"/>
        <v>May</v>
      </c>
      <c r="T381" s="230" t="s">
        <v>255</v>
      </c>
    </row>
    <row r="382" spans="1:20" x14ac:dyDescent="0.25">
      <c r="A382" s="243">
        <v>8411280000</v>
      </c>
      <c r="B382" s="240" t="str">
        <f>VLOOKUP(A382,'Energy Provider Accounts'!C:F,2,FALSE)</f>
        <v>Street Lighting #2</v>
      </c>
      <c r="C382" s="243" t="s">
        <v>230</v>
      </c>
      <c r="D382" s="244">
        <v>42549</v>
      </c>
      <c r="E382" s="244">
        <v>42519</v>
      </c>
      <c r="F382" s="243">
        <v>30</v>
      </c>
      <c r="G382" s="243" t="s">
        <v>253</v>
      </c>
      <c r="H382" s="243" t="s">
        <v>254</v>
      </c>
      <c r="I382" s="243">
        <v>605</v>
      </c>
      <c r="J382" s="243">
        <v>0</v>
      </c>
      <c r="K382" s="243">
        <v>0</v>
      </c>
      <c r="L382" s="243">
        <v>60.8</v>
      </c>
      <c r="M382" s="243">
        <v>251.12</v>
      </c>
      <c r="N382" s="243">
        <v>312.02999999999997</v>
      </c>
      <c r="O382">
        <v>2016</v>
      </c>
      <c r="P382" s="310">
        <f t="shared" si="8"/>
        <v>6</v>
      </c>
      <c r="Q382" s="310"/>
      <c r="R382" s="244">
        <v>42519</v>
      </c>
      <c r="S382" s="240" t="str">
        <f t="shared" si="9"/>
        <v>Jun</v>
      </c>
      <c r="T382" s="230" t="s">
        <v>255</v>
      </c>
    </row>
    <row r="383" spans="1:20" x14ac:dyDescent="0.25">
      <c r="A383" s="243">
        <v>8411280000</v>
      </c>
      <c r="B383" s="240" t="str">
        <f>VLOOKUP(A383,'Energy Provider Accounts'!C:F,2,FALSE)</f>
        <v>Street Lighting #2</v>
      </c>
      <c r="C383" s="243" t="s">
        <v>230</v>
      </c>
      <c r="D383" s="244">
        <v>42579</v>
      </c>
      <c r="E383" s="244">
        <v>42549</v>
      </c>
      <c r="F383" s="243">
        <v>30</v>
      </c>
      <c r="G383" s="243" t="s">
        <v>253</v>
      </c>
      <c r="H383" s="243" t="s">
        <v>254</v>
      </c>
      <c r="I383" s="243">
        <v>641</v>
      </c>
      <c r="J383" s="243">
        <v>0</v>
      </c>
      <c r="K383" s="243">
        <v>0</v>
      </c>
      <c r="L383" s="243">
        <v>53.47</v>
      </c>
      <c r="M383" s="243">
        <v>269.18</v>
      </c>
      <c r="N383" s="243">
        <v>322.76</v>
      </c>
      <c r="O383">
        <v>2016</v>
      </c>
      <c r="P383" s="310">
        <f t="shared" si="8"/>
        <v>7</v>
      </c>
      <c r="Q383" s="310"/>
      <c r="R383" s="244">
        <v>42549</v>
      </c>
      <c r="S383" s="240" t="str">
        <f t="shared" si="9"/>
        <v>Jul</v>
      </c>
      <c r="T383" s="230" t="s">
        <v>255</v>
      </c>
    </row>
    <row r="384" spans="1:20" x14ac:dyDescent="0.25">
      <c r="A384" s="243">
        <v>8411280000</v>
      </c>
      <c r="B384" s="240" t="str">
        <f>VLOOKUP(A384,'Energy Provider Accounts'!C:F,2,FALSE)</f>
        <v>Street Lighting #2</v>
      </c>
      <c r="C384" s="243" t="s">
        <v>230</v>
      </c>
      <c r="D384" s="244">
        <v>42608</v>
      </c>
      <c r="E384" s="244">
        <v>42578</v>
      </c>
      <c r="F384" s="243">
        <v>30</v>
      </c>
      <c r="G384" s="243" t="s">
        <v>253</v>
      </c>
      <c r="H384" s="243" t="s">
        <v>254</v>
      </c>
      <c r="I384" s="243">
        <v>723</v>
      </c>
      <c r="J384" s="243">
        <v>0</v>
      </c>
      <c r="K384" s="243">
        <v>0</v>
      </c>
      <c r="L384" s="243">
        <v>85.11</v>
      </c>
      <c r="M384" s="243">
        <v>254.17</v>
      </c>
      <c r="N384" s="243">
        <v>339.39</v>
      </c>
      <c r="O384">
        <v>2016</v>
      </c>
      <c r="P384" s="310">
        <f t="shared" si="8"/>
        <v>8</v>
      </c>
      <c r="Q384" s="310"/>
      <c r="R384" s="244">
        <v>42578</v>
      </c>
      <c r="S384" s="240" t="str">
        <f t="shared" si="9"/>
        <v>Aug</v>
      </c>
      <c r="T384" s="230" t="s">
        <v>255</v>
      </c>
    </row>
    <row r="385" spans="1:20" x14ac:dyDescent="0.25">
      <c r="A385" s="243">
        <v>8411280000</v>
      </c>
      <c r="B385" s="240" t="str">
        <f>VLOOKUP(A385,'Energy Provider Accounts'!C:F,2,FALSE)</f>
        <v>Street Lighting #2</v>
      </c>
      <c r="C385" s="243" t="s">
        <v>230</v>
      </c>
      <c r="D385" s="244">
        <v>42640</v>
      </c>
      <c r="E385" s="244">
        <v>42610</v>
      </c>
      <c r="F385" s="243">
        <v>30</v>
      </c>
      <c r="G385" s="243" t="s">
        <v>253</v>
      </c>
      <c r="H385" s="243" t="s">
        <v>254</v>
      </c>
      <c r="I385" s="243">
        <v>806</v>
      </c>
      <c r="J385" s="243">
        <v>0</v>
      </c>
      <c r="K385" s="243">
        <v>0</v>
      </c>
      <c r="L385" s="243">
        <v>92.64</v>
      </c>
      <c r="M385" s="243">
        <v>250.65</v>
      </c>
      <c r="N385" s="243">
        <v>343.41</v>
      </c>
      <c r="O385">
        <v>2016</v>
      </c>
      <c r="P385" s="310">
        <f t="shared" si="8"/>
        <v>9</v>
      </c>
      <c r="Q385" s="310"/>
      <c r="R385" s="244">
        <v>42610</v>
      </c>
      <c r="S385" s="240" t="str">
        <f t="shared" si="9"/>
        <v>Sep</v>
      </c>
      <c r="T385" s="230" t="s">
        <v>255</v>
      </c>
    </row>
    <row r="386" spans="1:20" x14ac:dyDescent="0.25">
      <c r="A386" s="243">
        <v>8411280000</v>
      </c>
      <c r="B386" s="240" t="str">
        <f>VLOOKUP(A386,'Energy Provider Accounts'!C:F,2,FALSE)</f>
        <v>Street Lighting #2</v>
      </c>
      <c r="C386" s="243" t="s">
        <v>230</v>
      </c>
      <c r="D386" s="244">
        <v>42669</v>
      </c>
      <c r="E386" s="244">
        <v>42639</v>
      </c>
      <c r="F386" s="243">
        <v>30</v>
      </c>
      <c r="G386" s="243" t="s">
        <v>253</v>
      </c>
      <c r="H386" s="243" t="s">
        <v>254</v>
      </c>
      <c r="I386" s="243">
        <v>923</v>
      </c>
      <c r="J386" s="243">
        <v>0</v>
      </c>
      <c r="K386" s="243">
        <v>0</v>
      </c>
      <c r="L386" s="243">
        <v>94.86</v>
      </c>
      <c r="M386" s="243">
        <v>250.15</v>
      </c>
      <c r="N386" s="243">
        <v>345.13</v>
      </c>
      <c r="O386">
        <v>2016</v>
      </c>
      <c r="P386" s="310">
        <f t="shared" si="8"/>
        <v>10</v>
      </c>
      <c r="Q386" s="310"/>
      <c r="R386" s="244">
        <v>42639</v>
      </c>
      <c r="S386" s="240" t="str">
        <f t="shared" si="9"/>
        <v>Oct</v>
      </c>
      <c r="T386" s="230" t="s">
        <v>255</v>
      </c>
    </row>
    <row r="387" spans="1:20" x14ac:dyDescent="0.25">
      <c r="A387" s="243">
        <v>8411280000</v>
      </c>
      <c r="B387" s="240" t="str">
        <f>VLOOKUP(A387,'Energy Provider Accounts'!C:F,2,FALSE)</f>
        <v>Street Lighting #2</v>
      </c>
      <c r="C387" s="243" t="s">
        <v>230</v>
      </c>
      <c r="D387" s="244">
        <v>42702</v>
      </c>
      <c r="E387" s="244">
        <v>42672</v>
      </c>
      <c r="F387" s="243">
        <v>30</v>
      </c>
      <c r="G387" s="243" t="s">
        <v>253</v>
      </c>
      <c r="H387" s="243" t="s">
        <v>254</v>
      </c>
      <c r="I387" s="243">
        <v>987</v>
      </c>
      <c r="J387" s="243">
        <v>0</v>
      </c>
      <c r="K387" s="243">
        <v>0</v>
      </c>
      <c r="L387" s="243">
        <v>103.25</v>
      </c>
      <c r="M387" s="243">
        <v>245.92</v>
      </c>
      <c r="N387" s="243">
        <v>349.29</v>
      </c>
      <c r="O387">
        <v>2016</v>
      </c>
      <c r="P387" s="310">
        <f t="shared" ref="P387:P474" si="10">MONTH(D387)</f>
        <v>11</v>
      </c>
      <c r="Q387" s="310"/>
      <c r="R387" s="244">
        <v>42672</v>
      </c>
      <c r="S387" s="240" t="str">
        <f t="shared" si="9"/>
        <v>Nov</v>
      </c>
      <c r="T387" s="230" t="s">
        <v>255</v>
      </c>
    </row>
    <row r="388" spans="1:20" x14ac:dyDescent="0.25">
      <c r="A388" s="243">
        <v>8411280000</v>
      </c>
      <c r="B388" s="240" t="str">
        <f>VLOOKUP(A388,'Energy Provider Accounts'!C:F,2,FALSE)</f>
        <v>Street Lighting #2</v>
      </c>
      <c r="C388" s="243" t="s">
        <v>230</v>
      </c>
      <c r="D388" s="244">
        <v>42733</v>
      </c>
      <c r="E388" s="244">
        <v>42703</v>
      </c>
      <c r="F388" s="243">
        <v>30</v>
      </c>
      <c r="G388" s="243" t="s">
        <v>253</v>
      </c>
      <c r="H388" s="243" t="s">
        <v>254</v>
      </c>
      <c r="I388" s="243">
        <v>1097</v>
      </c>
      <c r="J388" s="243">
        <v>0</v>
      </c>
      <c r="K388" s="243">
        <v>0</v>
      </c>
      <c r="L388" s="243">
        <v>101.05</v>
      </c>
      <c r="M388" s="243">
        <v>246.45</v>
      </c>
      <c r="N388" s="243">
        <v>347.62</v>
      </c>
      <c r="O388">
        <v>2016</v>
      </c>
      <c r="P388" s="310">
        <f t="shared" si="10"/>
        <v>12</v>
      </c>
      <c r="Q388" s="310"/>
      <c r="R388" s="244">
        <v>42703</v>
      </c>
      <c r="S388" s="240" t="str">
        <f t="shared" ref="S388:S476" si="11">CHOOSE(P388,"Jan","Feb","Mar","Apr","May","Jun","Jul","Aug","Sep","Oct","Nov","Dec")</f>
        <v>Dec</v>
      </c>
      <c r="T388" s="230" t="s">
        <v>255</v>
      </c>
    </row>
    <row r="389" spans="1:20" x14ac:dyDescent="0.25">
      <c r="A389" s="243">
        <v>8411280000</v>
      </c>
      <c r="B389" s="240" t="str">
        <f>VLOOKUP(A389,'Energy Provider Accounts'!C:F,2,FALSE)</f>
        <v>Street Lighting #2</v>
      </c>
      <c r="C389" s="243" t="s">
        <v>230</v>
      </c>
      <c r="D389" s="244">
        <v>42765</v>
      </c>
      <c r="E389" s="244">
        <v>42735</v>
      </c>
      <c r="F389" s="243">
        <v>30</v>
      </c>
      <c r="G389" s="243" t="s">
        <v>253</v>
      </c>
      <c r="H389" s="243" t="s">
        <v>254</v>
      </c>
      <c r="I389" s="243">
        <v>1042</v>
      </c>
      <c r="J389" s="243">
        <v>0</v>
      </c>
      <c r="K389" s="243">
        <v>0</v>
      </c>
      <c r="L389" s="243">
        <v>114.28</v>
      </c>
      <c r="M389" s="243">
        <v>239.14</v>
      </c>
      <c r="N389" s="243">
        <v>353.54</v>
      </c>
      <c r="O389">
        <v>2017</v>
      </c>
      <c r="P389" s="310">
        <f t="shared" si="10"/>
        <v>1</v>
      </c>
      <c r="Q389" s="310"/>
      <c r="R389" s="244">
        <v>42735</v>
      </c>
      <c r="S389" s="240" t="str">
        <f t="shared" si="11"/>
        <v>Jan</v>
      </c>
      <c r="T389" s="230" t="s">
        <v>255</v>
      </c>
    </row>
    <row r="390" spans="1:20" x14ac:dyDescent="0.25">
      <c r="A390" s="243">
        <v>8411280000</v>
      </c>
      <c r="B390" s="240" t="str">
        <f>VLOOKUP(A390,'Energy Provider Accounts'!C:F,2,FALSE)</f>
        <v>Street Lighting #2</v>
      </c>
      <c r="C390" s="243" t="s">
        <v>230</v>
      </c>
      <c r="D390" s="244">
        <v>42795</v>
      </c>
      <c r="E390" s="244">
        <v>42765</v>
      </c>
      <c r="F390" s="243">
        <v>30</v>
      </c>
      <c r="G390" s="243" t="s">
        <v>253</v>
      </c>
      <c r="H390" s="243" t="s">
        <v>254</v>
      </c>
      <c r="I390" s="243">
        <v>870</v>
      </c>
      <c r="J390" s="243">
        <v>0</v>
      </c>
      <c r="K390" s="243">
        <v>0</v>
      </c>
      <c r="L390" s="243">
        <v>100.41</v>
      </c>
      <c r="M390" s="243">
        <v>246.21</v>
      </c>
      <c r="N390" s="243">
        <v>346.78</v>
      </c>
      <c r="O390">
        <v>2017</v>
      </c>
      <c r="P390" s="310">
        <f t="shared" si="10"/>
        <v>3</v>
      </c>
      <c r="Q390" s="310"/>
      <c r="R390" s="244">
        <v>42765</v>
      </c>
      <c r="S390" s="240" t="s">
        <v>82</v>
      </c>
      <c r="T390" s="229" t="s">
        <v>252</v>
      </c>
    </row>
    <row r="391" spans="1:20" x14ac:dyDescent="0.25">
      <c r="A391" s="243">
        <v>8411280000</v>
      </c>
      <c r="B391" s="240" t="str">
        <f>VLOOKUP(A391,'Energy Provider Accounts'!C:F,2,FALSE)</f>
        <v>Street Lighting #2</v>
      </c>
      <c r="C391" s="243" t="s">
        <v>230</v>
      </c>
      <c r="D391" s="244">
        <v>42823</v>
      </c>
      <c r="E391" s="244">
        <v>42793</v>
      </c>
      <c r="F391" s="243">
        <v>30</v>
      </c>
      <c r="G391" s="243" t="s">
        <v>253</v>
      </c>
      <c r="H391" s="243" t="s">
        <v>254</v>
      </c>
      <c r="I391" s="243">
        <v>842</v>
      </c>
      <c r="J391" s="243">
        <v>0</v>
      </c>
      <c r="K391" s="243">
        <v>0</v>
      </c>
      <c r="L391" s="243">
        <v>77.959999999999994</v>
      </c>
      <c r="M391" s="243">
        <v>258.01</v>
      </c>
      <c r="N391" s="243">
        <v>336.12</v>
      </c>
      <c r="O391">
        <v>2017</v>
      </c>
      <c r="P391" s="310">
        <f t="shared" si="10"/>
        <v>3</v>
      </c>
      <c r="Q391" s="310"/>
      <c r="R391" s="244">
        <v>42793</v>
      </c>
      <c r="S391" s="240" t="str">
        <f t="shared" si="11"/>
        <v>Mar</v>
      </c>
      <c r="T391" s="230" t="s">
        <v>252</v>
      </c>
    </row>
    <row r="392" spans="1:20" x14ac:dyDescent="0.25">
      <c r="A392" s="243">
        <v>8411280000</v>
      </c>
      <c r="B392" s="240" t="str">
        <f>VLOOKUP(A392,'Energy Provider Accounts'!C:F,2,FALSE)</f>
        <v>Street Lighting #2</v>
      </c>
      <c r="C392" s="243" t="s">
        <v>230</v>
      </c>
      <c r="D392" s="244">
        <v>42853</v>
      </c>
      <c r="E392" s="244">
        <v>42823</v>
      </c>
      <c r="F392" s="243">
        <v>30</v>
      </c>
      <c r="G392" s="243" t="s">
        <v>253</v>
      </c>
      <c r="H392" s="243" t="s">
        <v>254</v>
      </c>
      <c r="I392" s="243">
        <v>751</v>
      </c>
      <c r="J392" s="243">
        <v>0</v>
      </c>
      <c r="K392" s="243">
        <v>0</v>
      </c>
      <c r="L392" s="243">
        <v>90.96</v>
      </c>
      <c r="M392" s="243">
        <v>250.69</v>
      </c>
      <c r="N392" s="243">
        <v>341.79</v>
      </c>
      <c r="O392">
        <v>2017</v>
      </c>
      <c r="P392" s="310">
        <f t="shared" si="10"/>
        <v>4</v>
      </c>
      <c r="Q392" s="310"/>
      <c r="R392" s="244">
        <v>42823</v>
      </c>
      <c r="S392" s="240" t="str">
        <f t="shared" si="11"/>
        <v>Apr</v>
      </c>
      <c r="T392" s="230" t="s">
        <v>252</v>
      </c>
    </row>
    <row r="393" spans="1:20" x14ac:dyDescent="0.25">
      <c r="A393" s="243">
        <v>8411280000</v>
      </c>
      <c r="B393" s="240" t="str">
        <f>VLOOKUP(A393,'Energy Provider Accounts'!C:F,2,FALSE)</f>
        <v>Street Lighting #2</v>
      </c>
      <c r="C393" s="243" t="s">
        <v>230</v>
      </c>
      <c r="D393" s="244">
        <v>42881</v>
      </c>
      <c r="E393" s="244">
        <v>42851</v>
      </c>
      <c r="F393" s="243">
        <v>30</v>
      </c>
      <c r="G393" s="243" t="s">
        <v>253</v>
      </c>
      <c r="H393" s="243" t="s">
        <v>254</v>
      </c>
      <c r="I393" s="243">
        <v>668</v>
      </c>
      <c r="J393" s="243">
        <v>0</v>
      </c>
      <c r="K393" s="243">
        <v>0</v>
      </c>
      <c r="L393" s="243">
        <v>88.96</v>
      </c>
      <c r="M393" s="243">
        <v>251.5</v>
      </c>
      <c r="N393" s="243">
        <v>340.6</v>
      </c>
      <c r="O393">
        <v>2017</v>
      </c>
      <c r="P393" s="310">
        <f t="shared" si="10"/>
        <v>5</v>
      </c>
      <c r="Q393" s="310"/>
      <c r="R393" s="244">
        <v>42851</v>
      </c>
      <c r="S393" s="240" t="str">
        <f t="shared" si="11"/>
        <v>May</v>
      </c>
      <c r="T393" s="230" t="s">
        <v>252</v>
      </c>
    </row>
    <row r="394" spans="1:20" x14ac:dyDescent="0.25">
      <c r="A394" s="243">
        <v>8411280000</v>
      </c>
      <c r="B394" s="240" t="str">
        <f>VLOOKUP(A394,'Energy Provider Accounts'!C:F,2,FALSE)</f>
        <v>Street Lighting #2</v>
      </c>
      <c r="C394" s="243" t="s">
        <v>230</v>
      </c>
      <c r="D394" s="244">
        <v>42913</v>
      </c>
      <c r="E394" s="244">
        <v>42883</v>
      </c>
      <c r="F394" s="243">
        <v>30</v>
      </c>
      <c r="G394" s="243" t="s">
        <v>253</v>
      </c>
      <c r="H394" s="243" t="s">
        <v>254</v>
      </c>
      <c r="I394" s="243">
        <v>604</v>
      </c>
      <c r="J394" s="243">
        <v>0</v>
      </c>
      <c r="K394" s="243">
        <v>0</v>
      </c>
      <c r="L394" s="243">
        <v>58.55</v>
      </c>
      <c r="M394" s="243">
        <v>266.7</v>
      </c>
      <c r="N394" s="243">
        <v>325.38</v>
      </c>
      <c r="O394">
        <v>2017</v>
      </c>
      <c r="P394" s="310">
        <f t="shared" si="10"/>
        <v>6</v>
      </c>
      <c r="Q394" s="310"/>
      <c r="R394" s="244">
        <v>42883</v>
      </c>
      <c r="S394" s="240" t="str">
        <f t="shared" si="11"/>
        <v>Jun</v>
      </c>
      <c r="T394" s="230" t="s">
        <v>252</v>
      </c>
    </row>
    <row r="395" spans="1:20" x14ac:dyDescent="0.25">
      <c r="A395" s="243">
        <v>8411280000</v>
      </c>
      <c r="B395" s="240" t="str">
        <f>VLOOKUP(A395,'Energy Provider Accounts'!C:F,2,FALSE)</f>
        <v>Street Lighting #2</v>
      </c>
      <c r="C395" s="243" t="s">
        <v>230</v>
      </c>
      <c r="D395" s="244">
        <v>42943</v>
      </c>
      <c r="E395" s="244">
        <v>42913</v>
      </c>
      <c r="F395" s="243">
        <v>30</v>
      </c>
      <c r="G395" s="243" t="s">
        <v>253</v>
      </c>
      <c r="H395" s="243" t="s">
        <v>254</v>
      </c>
      <c r="I395" s="243">
        <v>640</v>
      </c>
      <c r="J395" s="243">
        <v>0</v>
      </c>
      <c r="K395" s="243">
        <v>0</v>
      </c>
      <c r="L395" s="243">
        <v>70</v>
      </c>
      <c r="M395" s="243">
        <v>273.79000000000002</v>
      </c>
      <c r="N395" s="243">
        <v>343.93</v>
      </c>
      <c r="O395">
        <v>2017</v>
      </c>
      <c r="P395" s="310">
        <f t="shared" si="10"/>
        <v>7</v>
      </c>
      <c r="Q395" s="310"/>
      <c r="R395" s="244">
        <v>42913</v>
      </c>
      <c r="S395" s="240" t="str">
        <f t="shared" si="11"/>
        <v>Jul</v>
      </c>
      <c r="T395" s="230" t="s">
        <v>252</v>
      </c>
    </row>
    <row r="396" spans="1:20" x14ac:dyDescent="0.25">
      <c r="A396" s="243">
        <v>8411280000</v>
      </c>
      <c r="B396" s="240" t="str">
        <f>VLOOKUP(A396,'Energy Provider Accounts'!C:F,2,FALSE)</f>
        <v>Street Lighting #2</v>
      </c>
      <c r="C396" s="243" t="s">
        <v>230</v>
      </c>
      <c r="D396" s="244">
        <v>42972</v>
      </c>
      <c r="E396" s="244">
        <v>42942</v>
      </c>
      <c r="F396" s="243">
        <v>30</v>
      </c>
      <c r="G396" s="243" t="s">
        <v>253</v>
      </c>
      <c r="H396" s="243" t="s">
        <v>254</v>
      </c>
      <c r="I396" s="243">
        <v>723</v>
      </c>
      <c r="J396" s="243">
        <v>0</v>
      </c>
      <c r="K396" s="243">
        <v>0</v>
      </c>
      <c r="L396" s="243">
        <v>88.73</v>
      </c>
      <c r="M396" s="243">
        <v>266.23</v>
      </c>
      <c r="N396" s="243">
        <v>355.1</v>
      </c>
      <c r="O396">
        <v>2017</v>
      </c>
      <c r="P396" s="310">
        <f t="shared" si="10"/>
        <v>8</v>
      </c>
      <c r="Q396" s="310"/>
      <c r="R396" s="244">
        <v>42942</v>
      </c>
      <c r="S396" s="240" t="str">
        <f t="shared" si="11"/>
        <v>Aug</v>
      </c>
      <c r="T396" s="230" t="s">
        <v>252</v>
      </c>
    </row>
    <row r="397" spans="1:20" x14ac:dyDescent="0.25">
      <c r="A397" s="243">
        <v>8411280000</v>
      </c>
      <c r="B397" s="240" t="str">
        <f>VLOOKUP(A397,'Energy Provider Accounts'!C:F,2,FALSE)</f>
        <v>Street Lighting #2</v>
      </c>
      <c r="C397" s="243" t="s">
        <v>230</v>
      </c>
      <c r="D397" s="244">
        <v>43004</v>
      </c>
      <c r="E397" s="244">
        <v>42974</v>
      </c>
      <c r="F397" s="243">
        <v>30</v>
      </c>
      <c r="G397" s="243" t="s">
        <v>253</v>
      </c>
      <c r="H397" s="243" t="s">
        <v>254</v>
      </c>
      <c r="I397" s="243">
        <v>806</v>
      </c>
      <c r="J397" s="243">
        <v>0</v>
      </c>
      <c r="K397" s="243">
        <v>0</v>
      </c>
      <c r="L397" s="243">
        <v>81.89</v>
      </c>
      <c r="M397" s="243">
        <v>271.08</v>
      </c>
      <c r="N397" s="243">
        <v>353.11</v>
      </c>
      <c r="O397">
        <v>2017</v>
      </c>
      <c r="P397" s="310">
        <f t="shared" si="10"/>
        <v>9</v>
      </c>
      <c r="Q397" s="310"/>
      <c r="R397" s="244">
        <v>42974</v>
      </c>
      <c r="S397" s="240" t="str">
        <f t="shared" si="11"/>
        <v>Sep</v>
      </c>
      <c r="T397" s="230" t="s">
        <v>252</v>
      </c>
    </row>
    <row r="398" spans="1:20" x14ac:dyDescent="0.25">
      <c r="A398" s="243">
        <v>8411280000</v>
      </c>
      <c r="B398" s="240" t="str">
        <f>VLOOKUP(A398,'Energy Provider Accounts'!C:F,2,FALSE)</f>
        <v>Street Lighting #2</v>
      </c>
      <c r="C398" s="243" t="s">
        <v>230</v>
      </c>
      <c r="D398" s="244">
        <v>43033</v>
      </c>
      <c r="E398" s="244">
        <v>43003</v>
      </c>
      <c r="F398" s="243">
        <v>30</v>
      </c>
      <c r="G398" s="243" t="s">
        <v>253</v>
      </c>
      <c r="H398" s="243" t="s">
        <v>254</v>
      </c>
      <c r="I398" s="243">
        <v>923</v>
      </c>
      <c r="J398" s="243">
        <v>0</v>
      </c>
      <c r="K398" s="243">
        <v>0</v>
      </c>
      <c r="L398" s="243">
        <v>93.99</v>
      </c>
      <c r="M398" s="243">
        <v>265.64999999999998</v>
      </c>
      <c r="N398" s="243">
        <v>359.78</v>
      </c>
      <c r="O398">
        <v>2017</v>
      </c>
      <c r="P398" s="310">
        <f t="shared" si="10"/>
        <v>10</v>
      </c>
      <c r="Q398" s="310"/>
      <c r="R398" s="244">
        <v>43003</v>
      </c>
      <c r="S398" s="240" t="str">
        <f t="shared" si="11"/>
        <v>Oct</v>
      </c>
      <c r="T398" s="230" t="s">
        <v>252</v>
      </c>
    </row>
    <row r="399" spans="1:20" x14ac:dyDescent="0.25">
      <c r="A399" s="243">
        <v>8411280000</v>
      </c>
      <c r="B399" s="240" t="str">
        <f>VLOOKUP(A399,'Energy Provider Accounts'!C:F,2,FALSE)</f>
        <v>Street Lighting #2</v>
      </c>
      <c r="C399" s="243" t="s">
        <v>230</v>
      </c>
      <c r="D399" s="244">
        <v>43066</v>
      </c>
      <c r="E399" s="244">
        <v>43036</v>
      </c>
      <c r="F399" s="243">
        <v>30</v>
      </c>
      <c r="G399" s="243" t="s">
        <v>253</v>
      </c>
      <c r="H399" s="243" t="s">
        <v>254</v>
      </c>
      <c r="I399" s="243">
        <v>987</v>
      </c>
      <c r="J399" s="243">
        <v>0</v>
      </c>
      <c r="K399" s="243">
        <v>0</v>
      </c>
      <c r="L399" s="243">
        <v>117.56</v>
      </c>
      <c r="M399" s="243">
        <v>254.53</v>
      </c>
      <c r="N399" s="243">
        <v>372.24</v>
      </c>
      <c r="O399">
        <v>2017</v>
      </c>
      <c r="P399" s="310">
        <f t="shared" si="10"/>
        <v>11</v>
      </c>
      <c r="Q399" s="310"/>
      <c r="R399" s="244">
        <v>43036</v>
      </c>
      <c r="S399" s="240" t="str">
        <f t="shared" si="11"/>
        <v>Nov</v>
      </c>
      <c r="T399" s="230" t="s">
        <v>252</v>
      </c>
    </row>
    <row r="400" spans="1:20" x14ac:dyDescent="0.25">
      <c r="A400" s="243">
        <v>8411280000</v>
      </c>
      <c r="B400" s="240" t="str">
        <f>VLOOKUP(A400,'Energy Provider Accounts'!C:F,2,FALSE)</f>
        <v>Street Lighting #2</v>
      </c>
      <c r="C400" s="243" t="s">
        <v>230</v>
      </c>
      <c r="D400" s="244">
        <v>43097</v>
      </c>
      <c r="E400" s="244">
        <v>43067</v>
      </c>
      <c r="F400" s="243">
        <v>30</v>
      </c>
      <c r="G400" s="243" t="s">
        <v>253</v>
      </c>
      <c r="H400" s="243" t="s">
        <v>254</v>
      </c>
      <c r="I400" s="243">
        <v>1097</v>
      </c>
      <c r="J400" s="243">
        <v>0</v>
      </c>
      <c r="K400" s="243">
        <v>0</v>
      </c>
      <c r="L400" s="243">
        <v>124.68</v>
      </c>
      <c r="M400" s="243">
        <v>250.37</v>
      </c>
      <c r="N400" s="249">
        <v>375.22</v>
      </c>
      <c r="O400">
        <v>2017</v>
      </c>
      <c r="P400" s="310">
        <f t="shared" si="10"/>
        <v>12</v>
      </c>
      <c r="Q400" s="310"/>
      <c r="R400" s="244">
        <v>43067</v>
      </c>
      <c r="S400" s="240" t="str">
        <f t="shared" si="11"/>
        <v>Dec</v>
      </c>
      <c r="T400" s="230" t="s">
        <v>252</v>
      </c>
    </row>
    <row r="401" spans="1:20" x14ac:dyDescent="0.25">
      <c r="A401" s="243">
        <v>8411280000</v>
      </c>
      <c r="B401" s="240" t="str">
        <f>VLOOKUP(A401,'Energy Provider Accounts'!C:F,2,FALSE)</f>
        <v>Street Lighting #2</v>
      </c>
      <c r="C401" s="243" t="s">
        <v>230</v>
      </c>
      <c r="D401" s="244">
        <v>43131</v>
      </c>
      <c r="E401" s="244">
        <v>43097</v>
      </c>
      <c r="F401" s="243">
        <v>33</v>
      </c>
      <c r="G401" s="243" t="s">
        <v>263</v>
      </c>
      <c r="H401" s="243" t="s">
        <v>254</v>
      </c>
      <c r="I401" s="243">
        <v>1042</v>
      </c>
      <c r="J401" s="243"/>
      <c r="K401" s="243"/>
      <c r="L401" s="243">
        <v>77.47</v>
      </c>
      <c r="M401" s="243">
        <v>311.83999999999997</v>
      </c>
      <c r="N401" s="249">
        <v>389.31</v>
      </c>
      <c r="O401" s="318">
        <v>2018</v>
      </c>
      <c r="P401" s="310">
        <f t="shared" si="10"/>
        <v>1</v>
      </c>
      <c r="Q401" s="310"/>
      <c r="R401" s="244">
        <v>43462</v>
      </c>
      <c r="S401" s="261" t="str">
        <f t="shared" si="11"/>
        <v>Jan</v>
      </c>
      <c r="T401" s="230" t="s">
        <v>252</v>
      </c>
    </row>
    <row r="402" spans="1:20" x14ac:dyDescent="0.25">
      <c r="A402" s="243">
        <v>8411280000</v>
      </c>
      <c r="B402" s="240" t="str">
        <f>VLOOKUP(A402,'Energy Provider Accounts'!C:F,2,FALSE)</f>
        <v>Street Lighting #2</v>
      </c>
      <c r="C402" s="243" t="s">
        <v>230</v>
      </c>
      <c r="D402" s="244">
        <v>43159</v>
      </c>
      <c r="E402" s="244">
        <v>43131</v>
      </c>
      <c r="F402" s="243">
        <v>29</v>
      </c>
      <c r="G402" s="243" t="s">
        <v>263</v>
      </c>
      <c r="H402" s="243" t="s">
        <v>254</v>
      </c>
      <c r="I402" s="243">
        <v>870</v>
      </c>
      <c r="J402" s="243"/>
      <c r="K402" s="243"/>
      <c r="L402" s="243">
        <v>65.02</v>
      </c>
      <c r="M402" s="243">
        <v>310.27999999999997</v>
      </c>
      <c r="N402" s="249">
        <v>375.3</v>
      </c>
      <c r="O402" s="318">
        <v>2018</v>
      </c>
      <c r="P402" s="310">
        <f t="shared" si="10"/>
        <v>2</v>
      </c>
      <c r="Q402" s="310"/>
      <c r="R402" s="244">
        <v>43131</v>
      </c>
      <c r="S402" s="261" t="str">
        <f t="shared" si="11"/>
        <v>Feb</v>
      </c>
      <c r="T402" s="230" t="s">
        <v>252</v>
      </c>
    </row>
    <row r="403" spans="1:20" x14ac:dyDescent="0.25">
      <c r="A403" s="243">
        <v>8411280000</v>
      </c>
      <c r="B403" s="240" t="str">
        <f>VLOOKUP(A403,'Energy Provider Accounts'!C:F,2,FALSE)</f>
        <v>Street Lighting #2</v>
      </c>
      <c r="C403" s="243" t="s">
        <v>230</v>
      </c>
      <c r="D403" s="244">
        <v>43188</v>
      </c>
      <c r="E403" s="244">
        <v>43159</v>
      </c>
      <c r="F403" s="243">
        <v>30</v>
      </c>
      <c r="G403" s="243" t="s">
        <v>263</v>
      </c>
      <c r="H403" s="243" t="s">
        <v>254</v>
      </c>
      <c r="I403" s="243">
        <v>842</v>
      </c>
      <c r="J403" s="243"/>
      <c r="K403" s="243"/>
      <c r="L403" s="243">
        <v>38.840000000000003</v>
      </c>
      <c r="M403" s="243">
        <v>311.81</v>
      </c>
      <c r="N403" s="249">
        <v>350.65</v>
      </c>
      <c r="O403" s="318">
        <v>2018</v>
      </c>
      <c r="P403" s="310">
        <f t="shared" si="10"/>
        <v>3</v>
      </c>
      <c r="Q403" s="310"/>
      <c r="R403" s="244">
        <v>43159</v>
      </c>
      <c r="S403" s="261" t="str">
        <f t="shared" si="11"/>
        <v>Mar</v>
      </c>
      <c r="T403" s="230" t="s">
        <v>252</v>
      </c>
    </row>
    <row r="404" spans="1:20" x14ac:dyDescent="0.25">
      <c r="A404" s="243">
        <v>8411280000</v>
      </c>
      <c r="B404" s="240" t="str">
        <f>VLOOKUP(A404,'Energy Provider Accounts'!C:F,2,FALSE)</f>
        <v>Street Lighting #2</v>
      </c>
      <c r="C404" s="243" t="s">
        <v>230</v>
      </c>
      <c r="D404" s="244">
        <v>43220</v>
      </c>
      <c r="E404" s="244">
        <v>43188</v>
      </c>
      <c r="F404" s="243">
        <v>32</v>
      </c>
      <c r="G404" s="243" t="s">
        <v>263</v>
      </c>
      <c r="H404" s="243" t="s">
        <v>254</v>
      </c>
      <c r="I404" s="243">
        <v>751</v>
      </c>
      <c r="J404" s="243"/>
      <c r="K404" s="243"/>
      <c r="L404" s="243">
        <v>38.93</v>
      </c>
      <c r="M404" s="243">
        <v>312.49</v>
      </c>
      <c r="N404" s="249">
        <v>321.42</v>
      </c>
      <c r="O404" s="318">
        <v>2018</v>
      </c>
      <c r="P404" s="310">
        <f t="shared" si="10"/>
        <v>4</v>
      </c>
      <c r="Q404" s="310"/>
      <c r="R404" s="244">
        <v>43188</v>
      </c>
      <c r="S404" s="261" t="str">
        <f t="shared" si="11"/>
        <v>Apr</v>
      </c>
      <c r="T404" s="230" t="s">
        <v>252</v>
      </c>
    </row>
    <row r="405" spans="1:20" x14ac:dyDescent="0.25">
      <c r="A405" s="243">
        <v>8411280000</v>
      </c>
      <c r="B405" s="240" t="str">
        <f>VLOOKUP(A405,'Energy Provider Accounts'!C:F,2,FALSE)</f>
        <v>Street Lighting #2</v>
      </c>
      <c r="C405" s="243" t="s">
        <v>230</v>
      </c>
      <c r="D405" s="244">
        <v>43251</v>
      </c>
      <c r="E405" s="244">
        <v>43220</v>
      </c>
      <c r="F405" s="243">
        <v>32</v>
      </c>
      <c r="G405" s="243" t="s">
        <v>263</v>
      </c>
      <c r="H405" s="243" t="s">
        <v>254</v>
      </c>
      <c r="I405" s="243">
        <v>668</v>
      </c>
      <c r="J405" s="243"/>
      <c r="K405" s="243"/>
      <c r="L405" s="243">
        <v>43.11</v>
      </c>
      <c r="M405" s="243">
        <v>310.51</v>
      </c>
      <c r="N405" s="249">
        <v>353.62</v>
      </c>
      <c r="O405" s="318">
        <v>2018</v>
      </c>
      <c r="P405" s="310">
        <f t="shared" si="10"/>
        <v>5</v>
      </c>
      <c r="Q405" s="310"/>
      <c r="R405" s="244">
        <v>43220</v>
      </c>
      <c r="S405" s="261" t="str">
        <f t="shared" si="11"/>
        <v>May</v>
      </c>
      <c r="T405" s="230" t="s">
        <v>252</v>
      </c>
    </row>
    <row r="406" spans="1:20" x14ac:dyDescent="0.25">
      <c r="A406" s="243">
        <v>8411280000</v>
      </c>
      <c r="B406" s="240" t="str">
        <f>VLOOKUP(A406,'Energy Provider Accounts'!C:F,2,FALSE)</f>
        <v>Street Lighting #2</v>
      </c>
      <c r="C406" s="243" t="s">
        <v>230</v>
      </c>
      <c r="D406" s="244">
        <v>43280</v>
      </c>
      <c r="E406" s="244">
        <v>43251</v>
      </c>
      <c r="F406" s="243">
        <v>30</v>
      </c>
      <c r="G406" s="243" t="s">
        <v>263</v>
      </c>
      <c r="H406" s="243" t="s">
        <v>254</v>
      </c>
      <c r="I406" s="243">
        <v>604</v>
      </c>
      <c r="J406" s="243"/>
      <c r="K406" s="243"/>
      <c r="L406" s="243">
        <v>34.83</v>
      </c>
      <c r="M406" s="243">
        <v>309.64999999999998</v>
      </c>
      <c r="N406" s="249">
        <v>344.48</v>
      </c>
      <c r="O406" s="318">
        <v>2018</v>
      </c>
      <c r="P406" s="310">
        <f t="shared" si="10"/>
        <v>6</v>
      </c>
      <c r="Q406" s="310"/>
      <c r="R406" s="244">
        <v>43251</v>
      </c>
      <c r="S406" s="261" t="str">
        <f t="shared" si="11"/>
        <v>Jun</v>
      </c>
      <c r="T406" s="230" t="s">
        <v>252</v>
      </c>
    </row>
    <row r="407" spans="1:20" x14ac:dyDescent="0.25">
      <c r="A407" s="243">
        <v>8411280000</v>
      </c>
      <c r="B407" s="240" t="str">
        <f>VLOOKUP(A407,'Energy Provider Accounts'!C:F,2,FALSE)</f>
        <v>Street Lighting #2</v>
      </c>
      <c r="C407" s="243" t="s">
        <v>230</v>
      </c>
      <c r="D407" s="244">
        <v>43312</v>
      </c>
      <c r="E407" s="244">
        <v>43280</v>
      </c>
      <c r="F407" s="243">
        <v>32</v>
      </c>
      <c r="G407" s="243" t="s">
        <v>263</v>
      </c>
      <c r="H407" s="243" t="s">
        <v>254</v>
      </c>
      <c r="I407" s="243">
        <v>640</v>
      </c>
      <c r="J407" s="243"/>
      <c r="K407" s="243"/>
      <c r="L407" s="243">
        <v>30.88</v>
      </c>
      <c r="M407" s="243">
        <v>327.19</v>
      </c>
      <c r="N407" s="249">
        <v>358.07</v>
      </c>
      <c r="O407" s="318">
        <v>2018</v>
      </c>
      <c r="P407" s="310">
        <f t="shared" si="10"/>
        <v>7</v>
      </c>
      <c r="Q407" s="310"/>
      <c r="R407" s="244">
        <v>43280</v>
      </c>
      <c r="S407" s="261" t="str">
        <f t="shared" si="11"/>
        <v>Jul</v>
      </c>
      <c r="T407" s="230" t="s">
        <v>252</v>
      </c>
    </row>
    <row r="408" spans="1:20" x14ac:dyDescent="0.25">
      <c r="A408" s="243">
        <v>8411280000</v>
      </c>
      <c r="B408" s="240" t="str">
        <f>VLOOKUP(A408,'Energy Provider Accounts'!C:F,2,FALSE)</f>
        <v>Street Lighting #2</v>
      </c>
      <c r="C408" s="243" t="s">
        <v>230</v>
      </c>
      <c r="D408" s="244">
        <v>43343</v>
      </c>
      <c r="E408" s="244">
        <v>43312</v>
      </c>
      <c r="F408" s="243">
        <v>32</v>
      </c>
      <c r="G408" s="243" t="s">
        <v>263</v>
      </c>
      <c r="H408" s="243" t="s">
        <v>254</v>
      </c>
      <c r="I408" s="243">
        <v>723</v>
      </c>
      <c r="J408" s="243"/>
      <c r="K408" s="243"/>
      <c r="L408" s="243">
        <v>45.63</v>
      </c>
      <c r="M408" s="243">
        <v>325.44</v>
      </c>
      <c r="N408" s="249">
        <v>371.07</v>
      </c>
      <c r="O408" s="318">
        <v>2018</v>
      </c>
      <c r="P408" s="310">
        <f t="shared" si="10"/>
        <v>8</v>
      </c>
      <c r="Q408" s="310"/>
      <c r="R408" s="244">
        <v>43312</v>
      </c>
      <c r="S408" s="261" t="str">
        <f t="shared" si="11"/>
        <v>Aug</v>
      </c>
      <c r="T408" s="230" t="s">
        <v>252</v>
      </c>
    </row>
    <row r="409" spans="1:20" x14ac:dyDescent="0.25">
      <c r="A409" s="243">
        <v>8411280000</v>
      </c>
      <c r="B409" s="240" t="str">
        <f>VLOOKUP(A409,'Energy Provider Accounts'!C:F,2,FALSE)</f>
        <v>Street Lighting #2</v>
      </c>
      <c r="C409" s="243" t="s">
        <v>230</v>
      </c>
      <c r="D409" s="244">
        <v>43371</v>
      </c>
      <c r="E409" s="244">
        <v>43343</v>
      </c>
      <c r="F409" s="243">
        <v>29</v>
      </c>
      <c r="G409" s="243" t="s">
        <v>263</v>
      </c>
      <c r="H409" s="243" t="s">
        <v>254</v>
      </c>
      <c r="I409" s="243">
        <v>806</v>
      </c>
      <c r="J409" s="243"/>
      <c r="K409" s="243"/>
      <c r="L409" s="243">
        <v>65.72</v>
      </c>
      <c r="M409" s="243">
        <v>323.38</v>
      </c>
      <c r="N409" s="249">
        <v>389.1</v>
      </c>
      <c r="O409" s="318">
        <v>2018</v>
      </c>
      <c r="P409" s="310">
        <f t="shared" si="10"/>
        <v>9</v>
      </c>
      <c r="Q409" s="310"/>
      <c r="R409" s="244">
        <v>43343</v>
      </c>
      <c r="S409" s="261" t="str">
        <f t="shared" si="11"/>
        <v>Sep</v>
      </c>
      <c r="T409" s="230" t="s">
        <v>252</v>
      </c>
    </row>
    <row r="410" spans="1:20" x14ac:dyDescent="0.25">
      <c r="A410" s="243">
        <v>8411280000</v>
      </c>
      <c r="B410" s="240" t="str">
        <f>VLOOKUP(A410,'Energy Provider Accounts'!C:F,2,FALSE)</f>
        <v>Street Lighting #2</v>
      </c>
      <c r="C410" s="243" t="s">
        <v>230</v>
      </c>
      <c r="D410" s="244">
        <v>43404</v>
      </c>
      <c r="E410" s="244">
        <v>43371</v>
      </c>
      <c r="F410" s="243">
        <v>34</v>
      </c>
      <c r="G410" s="243" t="s">
        <v>263</v>
      </c>
      <c r="H410" s="243" t="s">
        <v>254</v>
      </c>
      <c r="I410" s="243">
        <v>923</v>
      </c>
      <c r="J410" s="243"/>
      <c r="K410" s="243"/>
      <c r="L410" s="243">
        <v>69.98</v>
      </c>
      <c r="M410" s="243">
        <v>325.18</v>
      </c>
      <c r="N410" s="249">
        <v>395.16</v>
      </c>
      <c r="O410" s="318">
        <v>2018</v>
      </c>
      <c r="P410" s="310">
        <f t="shared" si="10"/>
        <v>10</v>
      </c>
      <c r="Q410" s="310"/>
      <c r="R410" s="244">
        <v>43371</v>
      </c>
      <c r="S410" s="261" t="str">
        <f t="shared" si="11"/>
        <v>Oct</v>
      </c>
      <c r="T410" s="230" t="s">
        <v>252</v>
      </c>
    </row>
    <row r="411" spans="1:20" x14ac:dyDescent="0.25">
      <c r="A411" s="243">
        <v>8411280000</v>
      </c>
      <c r="B411" s="240" t="str">
        <f>VLOOKUP(A411,'Energy Provider Accounts'!C:F,2,FALSE)</f>
        <v>Street Lighting #2</v>
      </c>
      <c r="C411" s="243" t="s">
        <v>230</v>
      </c>
      <c r="D411" s="244">
        <v>43434</v>
      </c>
      <c r="E411" s="244">
        <v>43404</v>
      </c>
      <c r="F411" s="243">
        <v>31</v>
      </c>
      <c r="G411" s="243" t="s">
        <v>263</v>
      </c>
      <c r="H411" s="243" t="s">
        <v>254</v>
      </c>
      <c r="I411" s="243">
        <v>963</v>
      </c>
      <c r="J411" s="243"/>
      <c r="K411" s="243"/>
      <c r="L411" s="249">
        <v>43.8</v>
      </c>
      <c r="M411" s="243">
        <v>320.94</v>
      </c>
      <c r="N411" s="249">
        <v>364.74</v>
      </c>
      <c r="O411" s="318">
        <v>2018</v>
      </c>
      <c r="P411" s="310">
        <f t="shared" si="10"/>
        <v>11</v>
      </c>
      <c r="Q411" s="310"/>
      <c r="R411" s="244">
        <v>43404</v>
      </c>
      <c r="S411" s="261" t="str">
        <f t="shared" si="11"/>
        <v>Nov</v>
      </c>
      <c r="T411" s="230" t="s">
        <v>252</v>
      </c>
    </row>
    <row r="412" spans="1:20" x14ac:dyDescent="0.25">
      <c r="A412" s="243">
        <v>8411280000</v>
      </c>
      <c r="B412" s="240" t="str">
        <f>VLOOKUP(A412,'Energy Provider Accounts'!C:F,2,FALSE)</f>
        <v>Street Lighting #2</v>
      </c>
      <c r="C412" s="243" t="s">
        <v>230</v>
      </c>
      <c r="D412" s="244">
        <v>43465</v>
      </c>
      <c r="E412" s="244">
        <v>43434</v>
      </c>
      <c r="F412" s="243">
        <v>32</v>
      </c>
      <c r="G412" s="243" t="s">
        <v>263</v>
      </c>
      <c r="H412" s="243" t="s">
        <v>254</v>
      </c>
      <c r="I412" s="243">
        <v>1070</v>
      </c>
      <c r="J412" s="243"/>
      <c r="K412" s="243"/>
      <c r="L412" s="249">
        <v>36.78</v>
      </c>
      <c r="M412" s="243">
        <v>316.23</v>
      </c>
      <c r="N412" s="249">
        <v>353.01</v>
      </c>
      <c r="O412" s="318">
        <v>2018</v>
      </c>
      <c r="P412" s="310">
        <f t="shared" si="10"/>
        <v>12</v>
      </c>
      <c r="Q412" s="310"/>
      <c r="R412" s="244">
        <v>43434</v>
      </c>
      <c r="S412" s="261" t="str">
        <f t="shared" si="11"/>
        <v>Dec</v>
      </c>
      <c r="T412" s="230" t="s">
        <v>252</v>
      </c>
    </row>
    <row r="413" spans="1:20" x14ac:dyDescent="0.25">
      <c r="A413" s="239">
        <v>8644005500</v>
      </c>
      <c r="B413" s="240" t="str">
        <f>VLOOKUP(A413,'Energy Provider Accounts'!C:F,2,FALSE)</f>
        <v>Town Hall</v>
      </c>
      <c r="C413" s="239" t="s">
        <v>230</v>
      </c>
      <c r="D413" s="241">
        <v>42023</v>
      </c>
      <c r="E413" s="241">
        <v>41989</v>
      </c>
      <c r="F413" s="239">
        <v>35</v>
      </c>
      <c r="G413" s="239" t="s">
        <v>251</v>
      </c>
      <c r="H413" s="243" t="s">
        <v>254</v>
      </c>
      <c r="I413" s="242">
        <v>9003</v>
      </c>
      <c r="J413" s="250"/>
      <c r="K413" s="250"/>
      <c r="L413" s="242">
        <v>817.02</v>
      </c>
      <c r="M413" s="242">
        <v>436.94</v>
      </c>
      <c r="N413" s="242">
        <v>1254.3800000000001</v>
      </c>
      <c r="O413">
        <v>2015</v>
      </c>
      <c r="P413" s="310">
        <f t="shared" si="10"/>
        <v>1</v>
      </c>
      <c r="Q413" s="310"/>
      <c r="R413" s="241">
        <v>41989</v>
      </c>
      <c r="S413" s="240" t="str">
        <f t="shared" si="11"/>
        <v>Jan</v>
      </c>
      <c r="T413" s="229" t="s">
        <v>252</v>
      </c>
    </row>
    <row r="414" spans="1:20" x14ac:dyDescent="0.25">
      <c r="A414" s="243">
        <v>8644005500</v>
      </c>
      <c r="B414" s="240" t="str">
        <f>VLOOKUP(A414,'Energy Provider Accounts'!C:F,2,FALSE)</f>
        <v>Town Hall</v>
      </c>
      <c r="C414" s="243" t="s">
        <v>230</v>
      </c>
      <c r="D414" s="244">
        <v>42055</v>
      </c>
      <c r="E414" s="244">
        <v>42023</v>
      </c>
      <c r="F414" s="243">
        <v>33</v>
      </c>
      <c r="G414" s="243" t="s">
        <v>251</v>
      </c>
      <c r="H414" s="243" t="s">
        <v>254</v>
      </c>
      <c r="I414" s="243">
        <v>10161</v>
      </c>
      <c r="J414" s="250"/>
      <c r="K414" s="250"/>
      <c r="L414" s="243">
        <v>1070</v>
      </c>
      <c r="M414" s="243">
        <v>457.32</v>
      </c>
      <c r="N414" s="243">
        <v>1527.32</v>
      </c>
      <c r="O414">
        <v>2015</v>
      </c>
      <c r="P414" s="310">
        <f t="shared" si="10"/>
        <v>2</v>
      </c>
      <c r="Q414" s="310"/>
      <c r="R414" s="244">
        <v>42023</v>
      </c>
      <c r="S414" s="240" t="str">
        <f t="shared" si="11"/>
        <v>Feb</v>
      </c>
      <c r="T414" s="230" t="s">
        <v>255</v>
      </c>
    </row>
    <row r="415" spans="1:20" x14ac:dyDescent="0.25">
      <c r="A415" s="243">
        <v>8644005500</v>
      </c>
      <c r="B415" s="240" t="str">
        <f>VLOOKUP(A415,'Energy Provider Accounts'!C:F,2,FALSE)</f>
        <v>Town Hall</v>
      </c>
      <c r="C415" s="243" t="s">
        <v>230</v>
      </c>
      <c r="D415" s="244">
        <v>42083</v>
      </c>
      <c r="E415" s="244">
        <v>42055</v>
      </c>
      <c r="F415" s="243">
        <v>29</v>
      </c>
      <c r="G415" s="243" t="s">
        <v>251</v>
      </c>
      <c r="H415" s="243" t="s">
        <v>254</v>
      </c>
      <c r="I415" s="243">
        <v>7965</v>
      </c>
      <c r="J415" s="250"/>
      <c r="K415" s="250"/>
      <c r="L415" s="243">
        <v>1028.31</v>
      </c>
      <c r="M415" s="243">
        <v>382.89</v>
      </c>
      <c r="N415" s="249">
        <v>1411.2</v>
      </c>
      <c r="O415">
        <v>2015</v>
      </c>
      <c r="P415" s="310">
        <f t="shared" si="10"/>
        <v>3</v>
      </c>
      <c r="Q415" s="310"/>
      <c r="R415" s="244">
        <v>42055</v>
      </c>
      <c r="S415" s="240" t="str">
        <f t="shared" si="11"/>
        <v>Mar</v>
      </c>
      <c r="T415" s="230" t="s">
        <v>255</v>
      </c>
    </row>
    <row r="416" spans="1:20" x14ac:dyDescent="0.25">
      <c r="A416" s="243">
        <v>8644005500</v>
      </c>
      <c r="B416" s="240" t="str">
        <f>VLOOKUP(A416,'Energy Provider Accounts'!C:F,2,FALSE)</f>
        <v>Town Hall</v>
      </c>
      <c r="C416" s="243" t="s">
        <v>230</v>
      </c>
      <c r="D416" s="244">
        <v>42115</v>
      </c>
      <c r="E416" s="244">
        <v>42066</v>
      </c>
      <c r="F416" s="243">
        <v>32</v>
      </c>
      <c r="G416" s="243" t="s">
        <v>251</v>
      </c>
      <c r="H416" s="243" t="s">
        <v>254</v>
      </c>
      <c r="I416" s="243">
        <v>6186</v>
      </c>
      <c r="J416" s="250"/>
      <c r="K416" s="250"/>
      <c r="L416" s="243">
        <v>528.14</v>
      </c>
      <c r="M416" s="243">
        <v>393.47</v>
      </c>
      <c r="N416" s="243">
        <v>921.61</v>
      </c>
      <c r="O416">
        <v>2015</v>
      </c>
      <c r="P416" s="310">
        <f t="shared" si="10"/>
        <v>4</v>
      </c>
      <c r="Q416" s="310"/>
      <c r="R416" s="244">
        <v>42066</v>
      </c>
      <c r="S416" s="240" t="str">
        <f t="shared" si="11"/>
        <v>Apr</v>
      </c>
      <c r="T416" s="230" t="s">
        <v>255</v>
      </c>
    </row>
    <row r="417" spans="1:20" x14ac:dyDescent="0.25">
      <c r="A417" s="243">
        <v>8644005500</v>
      </c>
      <c r="B417" s="240" t="str">
        <f>VLOOKUP(A417,'Energy Provider Accounts'!C:F,2,FALSE)</f>
        <v>Town Hall</v>
      </c>
      <c r="C417" s="243" t="s">
        <v>230</v>
      </c>
      <c r="D417" s="244">
        <v>42145</v>
      </c>
      <c r="E417" s="244">
        <v>42096</v>
      </c>
      <c r="F417" s="243">
        <v>32</v>
      </c>
      <c r="G417" s="243" t="s">
        <v>251</v>
      </c>
      <c r="H417" s="243" t="s">
        <v>254</v>
      </c>
      <c r="I417" s="243">
        <v>3693</v>
      </c>
      <c r="J417" s="250"/>
      <c r="K417" s="250"/>
      <c r="L417" s="243">
        <v>112.44</v>
      </c>
      <c r="M417" s="243">
        <v>334.35</v>
      </c>
      <c r="N417" s="243">
        <v>446.79</v>
      </c>
      <c r="O417">
        <v>2015</v>
      </c>
      <c r="P417" s="310">
        <f t="shared" si="10"/>
        <v>5</v>
      </c>
      <c r="Q417" s="310"/>
      <c r="R417" s="244">
        <v>42096</v>
      </c>
      <c r="S417" s="240" t="str">
        <f t="shared" si="11"/>
        <v>May</v>
      </c>
      <c r="T417" s="230" t="s">
        <v>255</v>
      </c>
    </row>
    <row r="418" spans="1:20" x14ac:dyDescent="0.25">
      <c r="A418" s="243">
        <v>8644005500</v>
      </c>
      <c r="B418" s="240" t="str">
        <f>VLOOKUP(A418,'Energy Provider Accounts'!C:F,2,FALSE)</f>
        <v>Town Hall</v>
      </c>
      <c r="C418" s="243" t="s">
        <v>230</v>
      </c>
      <c r="D418" s="244">
        <v>42174</v>
      </c>
      <c r="E418" s="244">
        <v>42125</v>
      </c>
      <c r="F418" s="243">
        <v>30</v>
      </c>
      <c r="G418" s="243" t="s">
        <v>251</v>
      </c>
      <c r="H418" s="243" t="s">
        <v>254</v>
      </c>
      <c r="I418" s="243">
        <v>2993</v>
      </c>
      <c r="J418" s="250"/>
      <c r="K418" s="250"/>
      <c r="L418" s="243">
        <v>155.22</v>
      </c>
      <c r="M418" s="243">
        <v>327.16000000000003</v>
      </c>
      <c r="N418" s="243">
        <v>482.38</v>
      </c>
      <c r="O418">
        <v>2015</v>
      </c>
      <c r="P418" s="310">
        <f t="shared" si="10"/>
        <v>6</v>
      </c>
      <c r="Q418" s="310"/>
      <c r="R418" s="244">
        <v>42125</v>
      </c>
      <c r="S418" s="240" t="str">
        <f t="shared" si="11"/>
        <v>Jun</v>
      </c>
      <c r="T418" s="230" t="s">
        <v>255</v>
      </c>
    </row>
    <row r="419" spans="1:20" x14ac:dyDescent="0.25">
      <c r="A419" s="243">
        <v>8644005500</v>
      </c>
      <c r="B419" s="240" t="str">
        <f>VLOOKUP(A419,'Energy Provider Accounts'!C:F,2,FALSE)</f>
        <v>Town Hall</v>
      </c>
      <c r="C419" s="243" t="s">
        <v>230</v>
      </c>
      <c r="D419" s="244">
        <v>42205</v>
      </c>
      <c r="E419" s="244">
        <v>42157</v>
      </c>
      <c r="F419" s="243">
        <v>32</v>
      </c>
      <c r="G419" s="243" t="s">
        <v>251</v>
      </c>
      <c r="H419" s="243" t="s">
        <v>254</v>
      </c>
      <c r="I419" s="243">
        <v>3685</v>
      </c>
      <c r="J419" s="250"/>
      <c r="K419" s="250"/>
      <c r="L419" s="243">
        <v>225.06</v>
      </c>
      <c r="M419" s="243">
        <v>257.85000000000002</v>
      </c>
      <c r="N419" s="243">
        <v>482.91</v>
      </c>
      <c r="O419">
        <v>2015</v>
      </c>
      <c r="P419" s="310">
        <f t="shared" si="10"/>
        <v>7</v>
      </c>
      <c r="Q419" s="310"/>
      <c r="R419" s="244">
        <v>42157</v>
      </c>
      <c r="S419" s="240" t="str">
        <f t="shared" si="11"/>
        <v>Jul</v>
      </c>
      <c r="T419" s="230" t="s">
        <v>255</v>
      </c>
    </row>
    <row r="420" spans="1:20" x14ac:dyDescent="0.25">
      <c r="A420" s="243">
        <v>8644005500</v>
      </c>
      <c r="B420" s="240" t="str">
        <f>VLOOKUP(A420,'Energy Provider Accounts'!C:F,2,FALSE)</f>
        <v>Town Hall</v>
      </c>
      <c r="C420" s="243" t="s">
        <v>230</v>
      </c>
      <c r="D420" s="244">
        <v>42235</v>
      </c>
      <c r="E420" s="244">
        <v>42186</v>
      </c>
      <c r="F420" s="243">
        <v>31</v>
      </c>
      <c r="G420" s="243" t="s">
        <v>251</v>
      </c>
      <c r="H420" s="243" t="s">
        <v>254</v>
      </c>
      <c r="I420" s="243">
        <v>4089</v>
      </c>
      <c r="J420" s="250"/>
      <c r="K420" s="250"/>
      <c r="L420" s="243">
        <v>298.67</v>
      </c>
      <c r="M420" s="243">
        <v>276.95</v>
      </c>
      <c r="N420" s="243">
        <v>575.62</v>
      </c>
      <c r="O420">
        <v>2015</v>
      </c>
      <c r="P420" s="310">
        <f t="shared" si="10"/>
        <v>8</v>
      </c>
      <c r="Q420" s="310"/>
      <c r="R420" s="244">
        <v>42186</v>
      </c>
      <c r="S420" s="240" t="str">
        <f t="shared" si="11"/>
        <v>Aug</v>
      </c>
      <c r="T420" s="230" t="s">
        <v>255</v>
      </c>
    </row>
    <row r="421" spans="1:20" x14ac:dyDescent="0.25">
      <c r="A421" s="243">
        <v>8644005500</v>
      </c>
      <c r="B421" s="240" t="str">
        <f>VLOOKUP(A421,'Energy Provider Accounts'!C:F,2,FALSE)</f>
        <v>Town Hall</v>
      </c>
      <c r="C421" s="243" t="s">
        <v>230</v>
      </c>
      <c r="D421" s="244">
        <v>42268</v>
      </c>
      <c r="E421" s="244">
        <v>42216</v>
      </c>
      <c r="F421" s="243">
        <v>33</v>
      </c>
      <c r="G421" s="243" t="s">
        <v>251</v>
      </c>
      <c r="H421" s="243" t="s">
        <v>254</v>
      </c>
      <c r="I421" s="243">
        <v>4141</v>
      </c>
      <c r="J421" s="250"/>
      <c r="K421" s="250"/>
      <c r="L421" s="243">
        <v>329.31</v>
      </c>
      <c r="M421" s="243">
        <v>269.66000000000003</v>
      </c>
      <c r="N421" s="243">
        <v>598.97</v>
      </c>
      <c r="O421">
        <v>2015</v>
      </c>
      <c r="P421" s="310">
        <f t="shared" si="10"/>
        <v>9</v>
      </c>
      <c r="Q421" s="310"/>
      <c r="R421" s="244">
        <v>42216</v>
      </c>
      <c r="S421" s="240" t="str">
        <f t="shared" si="11"/>
        <v>Sep</v>
      </c>
      <c r="T421" s="230" t="s">
        <v>255</v>
      </c>
    </row>
    <row r="422" spans="1:20" x14ac:dyDescent="0.25">
      <c r="A422" s="243">
        <v>8644005500</v>
      </c>
      <c r="B422" s="240" t="str">
        <f>VLOOKUP(A422,'Energy Provider Accounts'!C:F,2,FALSE)</f>
        <v>Town Hall</v>
      </c>
      <c r="C422" s="243" t="s">
        <v>230</v>
      </c>
      <c r="D422" s="244">
        <v>42296</v>
      </c>
      <c r="E422" s="244">
        <v>42248</v>
      </c>
      <c r="F422" s="243">
        <v>29</v>
      </c>
      <c r="G422" s="243" t="s">
        <v>251</v>
      </c>
      <c r="H422" s="243" t="s">
        <v>254</v>
      </c>
      <c r="I422" s="243">
        <v>2985</v>
      </c>
      <c r="J422" s="250"/>
      <c r="K422" s="250"/>
      <c r="L422" s="243">
        <v>222.96</v>
      </c>
      <c r="M422" s="243">
        <v>221.5</v>
      </c>
      <c r="N422" s="243">
        <v>444.46</v>
      </c>
      <c r="O422">
        <v>2015</v>
      </c>
      <c r="P422" s="310">
        <f t="shared" si="10"/>
        <v>10</v>
      </c>
      <c r="Q422" s="310"/>
      <c r="R422" s="244">
        <v>42248</v>
      </c>
      <c r="S422" s="240" t="str">
        <f t="shared" si="11"/>
        <v>Oct</v>
      </c>
      <c r="T422" s="230" t="s">
        <v>255</v>
      </c>
    </row>
    <row r="423" spans="1:20" x14ac:dyDescent="0.25">
      <c r="A423" s="243">
        <v>8644005500</v>
      </c>
      <c r="B423" s="240" t="str">
        <f>VLOOKUP(A423,'Energy Provider Accounts'!C:F,2,FALSE)</f>
        <v>Town Hall</v>
      </c>
      <c r="C423" s="243" t="s">
        <v>230</v>
      </c>
      <c r="D423" s="244">
        <v>42325</v>
      </c>
      <c r="E423" s="244">
        <v>42277</v>
      </c>
      <c r="F423" s="243">
        <v>29</v>
      </c>
      <c r="G423" s="243" t="s">
        <v>251</v>
      </c>
      <c r="H423" s="243" t="s">
        <v>254</v>
      </c>
      <c r="I423" s="243">
        <v>3257</v>
      </c>
      <c r="J423" s="250"/>
      <c r="K423" s="250"/>
      <c r="L423" s="243">
        <v>172.77</v>
      </c>
      <c r="M423" s="243">
        <v>231.89</v>
      </c>
      <c r="N423" s="243">
        <v>404.66</v>
      </c>
      <c r="O423">
        <v>2015</v>
      </c>
      <c r="P423" s="310">
        <f t="shared" si="10"/>
        <v>11</v>
      </c>
      <c r="Q423" s="310"/>
      <c r="R423" s="244">
        <v>42277</v>
      </c>
      <c r="S423" s="240" t="str">
        <f t="shared" si="11"/>
        <v>Nov</v>
      </c>
      <c r="T423" s="230" t="s">
        <v>255</v>
      </c>
    </row>
    <row r="424" spans="1:20" x14ac:dyDescent="0.25">
      <c r="A424" s="239">
        <v>8644005500</v>
      </c>
      <c r="B424" s="240" t="str">
        <f>VLOOKUP(A424,'Energy Provider Accounts'!C:F,2,FALSE)</f>
        <v>Town Hall</v>
      </c>
      <c r="C424" s="239" t="s">
        <v>230</v>
      </c>
      <c r="D424" s="241">
        <v>42354</v>
      </c>
      <c r="E424" s="241">
        <v>42325</v>
      </c>
      <c r="F424" s="239">
        <v>32</v>
      </c>
      <c r="G424" s="239" t="s">
        <v>251</v>
      </c>
      <c r="H424" s="243" t="s">
        <v>254</v>
      </c>
      <c r="I424" s="242">
        <v>3989</v>
      </c>
      <c r="J424" s="250"/>
      <c r="K424" s="250"/>
      <c r="L424" s="242">
        <v>157.41</v>
      </c>
      <c r="M424" s="242">
        <v>248.23</v>
      </c>
      <c r="N424" s="242">
        <v>405.64</v>
      </c>
      <c r="O424">
        <v>2015</v>
      </c>
      <c r="P424" s="310">
        <f t="shared" si="10"/>
        <v>12</v>
      </c>
      <c r="Q424" s="310"/>
      <c r="R424" s="241">
        <v>42325</v>
      </c>
      <c r="S424" s="240" t="str">
        <f t="shared" si="11"/>
        <v>Dec</v>
      </c>
      <c r="T424" s="230" t="s">
        <v>255</v>
      </c>
    </row>
    <row r="425" spans="1:20" x14ac:dyDescent="0.25">
      <c r="A425" s="243">
        <v>8644005500</v>
      </c>
      <c r="B425" s="240" t="str">
        <f>VLOOKUP(A425,'Energy Provider Accounts'!C:F,2,FALSE)</f>
        <v>Town Hall</v>
      </c>
      <c r="C425" s="243" t="s">
        <v>230</v>
      </c>
      <c r="D425" s="244">
        <v>42387</v>
      </c>
      <c r="E425" s="248">
        <v>42354</v>
      </c>
      <c r="F425" s="243">
        <v>30</v>
      </c>
      <c r="G425" s="243" t="s">
        <v>253</v>
      </c>
      <c r="H425" s="243" t="s">
        <v>254</v>
      </c>
      <c r="I425" s="243">
        <v>5332</v>
      </c>
      <c r="J425" s="243">
        <v>15</v>
      </c>
      <c r="K425" s="243">
        <v>133.04</v>
      </c>
      <c r="L425" s="243">
        <v>715.25</v>
      </c>
      <c r="M425" s="243">
        <v>-220.35</v>
      </c>
      <c r="N425" s="243">
        <v>628.13</v>
      </c>
      <c r="O425">
        <v>2016</v>
      </c>
      <c r="P425" s="310">
        <f t="shared" si="10"/>
        <v>1</v>
      </c>
      <c r="Q425" s="310"/>
      <c r="R425" s="248">
        <v>42354</v>
      </c>
      <c r="S425" s="240" t="str">
        <f t="shared" si="11"/>
        <v>Jan</v>
      </c>
      <c r="T425" s="230" t="s">
        <v>255</v>
      </c>
    </row>
    <row r="426" spans="1:20" x14ac:dyDescent="0.25">
      <c r="A426" s="243">
        <v>8644005500</v>
      </c>
      <c r="B426" s="240" t="str">
        <f>VLOOKUP(A426,'Energy Provider Accounts'!C:F,2,FALSE)</f>
        <v>Town Hall</v>
      </c>
      <c r="C426" s="243" t="s">
        <v>230</v>
      </c>
      <c r="D426" s="244">
        <v>42418</v>
      </c>
      <c r="E426" s="244">
        <v>42388</v>
      </c>
      <c r="F426" s="243">
        <v>30</v>
      </c>
      <c r="G426" s="243" t="s">
        <v>253</v>
      </c>
      <c r="H426" s="243" t="s">
        <v>254</v>
      </c>
      <c r="I426" s="243">
        <v>5607</v>
      </c>
      <c r="J426" s="243">
        <v>16</v>
      </c>
      <c r="K426" s="243">
        <v>138.93</v>
      </c>
      <c r="L426" s="243">
        <v>911.82</v>
      </c>
      <c r="M426" s="243">
        <v>-335.75</v>
      </c>
      <c r="N426" s="243">
        <v>715.35</v>
      </c>
      <c r="O426">
        <v>2016</v>
      </c>
      <c r="P426" s="310">
        <f t="shared" si="10"/>
        <v>2</v>
      </c>
      <c r="Q426" s="310"/>
      <c r="R426" s="244">
        <v>42388</v>
      </c>
      <c r="S426" s="240" t="str">
        <f t="shared" si="11"/>
        <v>Feb</v>
      </c>
      <c r="T426" s="230" t="s">
        <v>255</v>
      </c>
    </row>
    <row r="427" spans="1:20" x14ac:dyDescent="0.25">
      <c r="A427" s="243">
        <v>8644005500</v>
      </c>
      <c r="B427" s="240" t="str">
        <f>VLOOKUP(A427,'Energy Provider Accounts'!C:F,2,FALSE)</f>
        <v>Town Hall</v>
      </c>
      <c r="C427" s="243" t="s">
        <v>230</v>
      </c>
      <c r="D427" s="244">
        <v>42447</v>
      </c>
      <c r="E427" s="244">
        <v>42417</v>
      </c>
      <c r="F427" s="243">
        <v>30</v>
      </c>
      <c r="G427" s="243" t="s">
        <v>253</v>
      </c>
      <c r="H427" s="243" t="s">
        <v>254</v>
      </c>
      <c r="I427" s="243">
        <v>5292</v>
      </c>
      <c r="J427" s="243">
        <v>23</v>
      </c>
      <c r="K427" s="243">
        <v>194.5</v>
      </c>
      <c r="L427" s="243">
        <v>815.14</v>
      </c>
      <c r="M427" s="243">
        <v>-267.93</v>
      </c>
      <c r="N427" s="243">
        <v>742.07</v>
      </c>
      <c r="O427">
        <v>2016</v>
      </c>
      <c r="P427" s="310">
        <f t="shared" si="10"/>
        <v>3</v>
      </c>
      <c r="Q427" s="310"/>
      <c r="R427" s="244">
        <v>42417</v>
      </c>
      <c r="S427" s="240" t="str">
        <f t="shared" si="11"/>
        <v>Mar</v>
      </c>
      <c r="T427" s="230" t="s">
        <v>255</v>
      </c>
    </row>
    <row r="428" spans="1:20" x14ac:dyDescent="0.25">
      <c r="A428" s="243">
        <v>8644005500</v>
      </c>
      <c r="B428" s="240" t="str">
        <f>VLOOKUP(A428,'Energy Provider Accounts'!C:F,2,FALSE)</f>
        <v>Town Hall</v>
      </c>
      <c r="C428" s="243" t="s">
        <v>230</v>
      </c>
      <c r="D428" s="244">
        <v>42478</v>
      </c>
      <c r="E428" s="244">
        <v>42448</v>
      </c>
      <c r="F428" s="243">
        <v>30</v>
      </c>
      <c r="G428" s="243" t="s">
        <v>253</v>
      </c>
      <c r="H428" s="243" t="s">
        <v>254</v>
      </c>
      <c r="I428" s="243">
        <v>5548</v>
      </c>
      <c r="J428" s="243">
        <v>21</v>
      </c>
      <c r="K428" s="243">
        <v>180.19</v>
      </c>
      <c r="L428" s="243">
        <v>794.38</v>
      </c>
      <c r="M428" s="243">
        <v>-267.86</v>
      </c>
      <c r="N428" s="243">
        <v>706.94</v>
      </c>
      <c r="O428">
        <v>2016</v>
      </c>
      <c r="P428" s="310">
        <f t="shared" si="10"/>
        <v>4</v>
      </c>
      <c r="Q428" s="310"/>
      <c r="R428" s="244">
        <v>42448</v>
      </c>
      <c r="S428" s="240" t="str">
        <f t="shared" si="11"/>
        <v>Apr</v>
      </c>
      <c r="T428" s="230" t="s">
        <v>255</v>
      </c>
    </row>
    <row r="429" spans="1:20" x14ac:dyDescent="0.25">
      <c r="A429" s="243">
        <v>8644005500</v>
      </c>
      <c r="B429" s="240" t="str">
        <f>VLOOKUP(A429,'Energy Provider Accounts'!C:F,2,FALSE)</f>
        <v>Town Hall</v>
      </c>
      <c r="C429" s="243" t="s">
        <v>230</v>
      </c>
      <c r="D429" s="244">
        <v>42507</v>
      </c>
      <c r="E429" s="244">
        <v>42477</v>
      </c>
      <c r="F429" s="243">
        <v>30</v>
      </c>
      <c r="G429" s="243" t="s">
        <v>253</v>
      </c>
      <c r="H429" s="243" t="s">
        <v>254</v>
      </c>
      <c r="I429" s="243">
        <v>3749</v>
      </c>
      <c r="J429" s="243">
        <v>18</v>
      </c>
      <c r="K429" s="243">
        <v>153.24</v>
      </c>
      <c r="L429" s="243">
        <v>427.94</v>
      </c>
      <c r="M429" s="243">
        <v>-99.22</v>
      </c>
      <c r="N429" s="243">
        <v>482.13</v>
      </c>
      <c r="O429">
        <v>2016</v>
      </c>
      <c r="P429" s="310">
        <f t="shared" si="10"/>
        <v>5</v>
      </c>
      <c r="Q429" s="310"/>
      <c r="R429" s="244">
        <v>42477</v>
      </c>
      <c r="S429" s="240" t="str">
        <f t="shared" si="11"/>
        <v>May</v>
      </c>
      <c r="T429" s="230" t="s">
        <v>255</v>
      </c>
    </row>
    <row r="430" spans="1:20" x14ac:dyDescent="0.25">
      <c r="A430" s="243">
        <v>8644005500</v>
      </c>
      <c r="B430" s="240" t="str">
        <f>VLOOKUP(A430,'Energy Provider Accounts'!C:F,2,FALSE)</f>
        <v>Town Hall</v>
      </c>
      <c r="C430" s="243" t="s">
        <v>230</v>
      </c>
      <c r="D430" s="244">
        <v>42537</v>
      </c>
      <c r="E430" s="244">
        <v>42507</v>
      </c>
      <c r="F430" s="243">
        <v>30</v>
      </c>
      <c r="G430" s="243" t="s">
        <v>253</v>
      </c>
      <c r="H430" s="243" t="s">
        <v>254</v>
      </c>
      <c r="I430" s="243">
        <v>3541</v>
      </c>
      <c r="J430" s="243">
        <v>14</v>
      </c>
      <c r="K430" s="243">
        <v>121.25</v>
      </c>
      <c r="L430" s="243">
        <v>453.84</v>
      </c>
      <c r="M430" s="243">
        <v>-120.42</v>
      </c>
      <c r="N430" s="243">
        <v>454.83</v>
      </c>
      <c r="O430">
        <v>2016</v>
      </c>
      <c r="P430" s="310">
        <f t="shared" si="10"/>
        <v>6</v>
      </c>
      <c r="Q430" s="310"/>
      <c r="R430" s="244">
        <v>42507</v>
      </c>
      <c r="S430" s="240" t="str">
        <f t="shared" si="11"/>
        <v>Jun</v>
      </c>
      <c r="T430" s="230" t="s">
        <v>255</v>
      </c>
    </row>
    <row r="431" spans="1:20" x14ac:dyDescent="0.25">
      <c r="A431" s="243">
        <v>8644005500</v>
      </c>
      <c r="B431" s="240" t="str">
        <f>VLOOKUP(A431,'Energy Provider Accounts'!C:F,2,FALSE)</f>
        <v>Town Hall</v>
      </c>
      <c r="C431" s="243" t="s">
        <v>230</v>
      </c>
      <c r="D431" s="244">
        <v>42570</v>
      </c>
      <c r="E431" s="244">
        <v>42540</v>
      </c>
      <c r="F431" s="243">
        <v>30</v>
      </c>
      <c r="G431" s="243" t="s">
        <v>253</v>
      </c>
      <c r="H431" s="243" t="s">
        <v>254</v>
      </c>
      <c r="I431" s="243">
        <v>3960</v>
      </c>
      <c r="J431" s="243">
        <v>15</v>
      </c>
      <c r="K431" s="243">
        <v>135.49</v>
      </c>
      <c r="L431" s="243">
        <v>476.11</v>
      </c>
      <c r="M431" s="243">
        <v>-125.24</v>
      </c>
      <c r="N431" s="243">
        <v>486.53</v>
      </c>
      <c r="O431">
        <v>2016</v>
      </c>
      <c r="P431" s="310">
        <f t="shared" si="10"/>
        <v>7</v>
      </c>
      <c r="Q431" s="310"/>
      <c r="R431" s="244">
        <v>42540</v>
      </c>
      <c r="S431" s="240" t="str">
        <f t="shared" si="11"/>
        <v>Jul</v>
      </c>
      <c r="T431" s="230" t="s">
        <v>255</v>
      </c>
    </row>
    <row r="432" spans="1:20" x14ac:dyDescent="0.25">
      <c r="A432" s="243">
        <v>8644005500</v>
      </c>
      <c r="B432" s="240" t="str">
        <f>VLOOKUP(A432,'Energy Provider Accounts'!C:F,2,FALSE)</f>
        <v>Town Hall</v>
      </c>
      <c r="C432" s="243" t="s">
        <v>230</v>
      </c>
      <c r="D432" s="244">
        <v>42599</v>
      </c>
      <c r="E432" s="244">
        <v>42569</v>
      </c>
      <c r="F432" s="243">
        <v>30</v>
      </c>
      <c r="G432" s="243" t="s">
        <v>253</v>
      </c>
      <c r="H432" s="243" t="s">
        <v>254</v>
      </c>
      <c r="I432" s="243">
        <v>3468</v>
      </c>
      <c r="J432" s="243">
        <v>16</v>
      </c>
      <c r="K432" s="243">
        <v>143.83000000000001</v>
      </c>
      <c r="L432" s="243">
        <v>382.65</v>
      </c>
      <c r="M432" s="243">
        <v>-79.73</v>
      </c>
      <c r="N432" s="243">
        <v>446.9</v>
      </c>
      <c r="O432">
        <v>2016</v>
      </c>
      <c r="P432" s="310">
        <f t="shared" si="10"/>
        <v>8</v>
      </c>
      <c r="Q432" s="310"/>
      <c r="R432" s="244">
        <v>42569</v>
      </c>
      <c r="S432" s="240" t="str">
        <f t="shared" si="11"/>
        <v>Aug</v>
      </c>
      <c r="T432" s="230" t="s">
        <v>255</v>
      </c>
    </row>
    <row r="433" spans="1:20" x14ac:dyDescent="0.25">
      <c r="A433" s="243">
        <v>8644005500</v>
      </c>
      <c r="B433" s="240" t="str">
        <f>VLOOKUP(A433,'Energy Provider Accounts'!C:F,2,FALSE)</f>
        <v>Town Hall</v>
      </c>
      <c r="C433" s="243" t="s">
        <v>230</v>
      </c>
      <c r="D433" s="244">
        <v>42633</v>
      </c>
      <c r="E433" s="244">
        <v>42603</v>
      </c>
      <c r="F433" s="243">
        <v>30</v>
      </c>
      <c r="G433" s="243" t="s">
        <v>253</v>
      </c>
      <c r="H433" s="243" t="s">
        <v>254</v>
      </c>
      <c r="I433" s="243">
        <v>3651</v>
      </c>
      <c r="J433" s="243">
        <v>16</v>
      </c>
      <c r="K433" s="243">
        <v>143.83000000000001</v>
      </c>
      <c r="L433" s="243">
        <v>563.38</v>
      </c>
      <c r="M433" s="243">
        <v>-168.73</v>
      </c>
      <c r="N433" s="243">
        <v>538.66999999999996</v>
      </c>
      <c r="O433">
        <v>2016</v>
      </c>
      <c r="P433" s="310">
        <f t="shared" si="10"/>
        <v>9</v>
      </c>
      <c r="Q433" s="310"/>
      <c r="R433" s="244">
        <v>42603</v>
      </c>
      <c r="S433" s="240" t="str">
        <f t="shared" si="11"/>
        <v>Sep</v>
      </c>
      <c r="T433" s="230" t="s">
        <v>255</v>
      </c>
    </row>
    <row r="434" spans="1:20" x14ac:dyDescent="0.25">
      <c r="A434" s="243">
        <v>8644005500</v>
      </c>
      <c r="B434" s="240" t="str">
        <f>VLOOKUP(A434,'Energy Provider Accounts'!C:F,2,FALSE)</f>
        <v>Town Hall</v>
      </c>
      <c r="C434" s="243" t="s">
        <v>230</v>
      </c>
      <c r="D434" s="244">
        <v>42661</v>
      </c>
      <c r="E434" s="244">
        <v>42631</v>
      </c>
      <c r="F434" s="243">
        <v>30</v>
      </c>
      <c r="G434" s="243" t="s">
        <v>253</v>
      </c>
      <c r="H434" s="243" t="s">
        <v>254</v>
      </c>
      <c r="I434" s="243">
        <v>2965</v>
      </c>
      <c r="J434" s="243">
        <v>20</v>
      </c>
      <c r="K434" s="243">
        <v>181.54</v>
      </c>
      <c r="L434" s="243">
        <v>317.56</v>
      </c>
      <c r="M434" s="243">
        <v>-50.64</v>
      </c>
      <c r="N434" s="243">
        <v>448.61</v>
      </c>
      <c r="O434">
        <v>2016</v>
      </c>
      <c r="P434" s="310">
        <f t="shared" si="10"/>
        <v>10</v>
      </c>
      <c r="Q434" s="310"/>
      <c r="R434" s="244">
        <v>42631</v>
      </c>
      <c r="S434" s="240" t="str">
        <f t="shared" si="11"/>
        <v>Oct</v>
      </c>
      <c r="T434" s="230" t="s">
        <v>255</v>
      </c>
    </row>
    <row r="435" spans="1:20" x14ac:dyDescent="0.25">
      <c r="A435" s="243">
        <v>8644005500</v>
      </c>
      <c r="B435" s="240" t="str">
        <f>VLOOKUP(A435,'Energy Provider Accounts'!C:F,2,FALSE)</f>
        <v>Town Hall</v>
      </c>
      <c r="C435" s="243" t="s">
        <v>230</v>
      </c>
      <c r="D435" s="244">
        <v>42690</v>
      </c>
      <c r="E435" s="244">
        <v>42660</v>
      </c>
      <c r="F435" s="243">
        <v>30</v>
      </c>
      <c r="G435" s="243" t="s">
        <v>253</v>
      </c>
      <c r="H435" s="243" t="s">
        <v>254</v>
      </c>
      <c r="I435" s="243">
        <v>3250</v>
      </c>
      <c r="J435" s="243">
        <v>24</v>
      </c>
      <c r="K435" s="243">
        <v>216.62</v>
      </c>
      <c r="L435" s="243">
        <v>392.19</v>
      </c>
      <c r="M435" s="243">
        <v>-85.03</v>
      </c>
      <c r="N435" s="243">
        <v>523.96</v>
      </c>
      <c r="O435">
        <v>2016</v>
      </c>
      <c r="P435" s="310">
        <f t="shared" si="10"/>
        <v>11</v>
      </c>
      <c r="Q435" s="310"/>
      <c r="R435" s="244">
        <v>42660</v>
      </c>
      <c r="S435" s="240" t="str">
        <f t="shared" si="11"/>
        <v>Nov</v>
      </c>
      <c r="T435" s="230" t="s">
        <v>255</v>
      </c>
    </row>
    <row r="436" spans="1:20" x14ac:dyDescent="0.25">
      <c r="A436" s="243">
        <v>8644005500</v>
      </c>
      <c r="B436" s="240" t="str">
        <f>VLOOKUP(A436,'Energy Provider Accounts'!C:F,2,FALSE)</f>
        <v>Town Hall</v>
      </c>
      <c r="C436" s="243" t="s">
        <v>230</v>
      </c>
      <c r="D436" s="244">
        <v>42720</v>
      </c>
      <c r="E436" s="244">
        <v>42690</v>
      </c>
      <c r="F436" s="243">
        <v>30</v>
      </c>
      <c r="G436" s="243" t="s">
        <v>253</v>
      </c>
      <c r="H436" s="243" t="s">
        <v>254</v>
      </c>
      <c r="I436" s="243">
        <v>4173</v>
      </c>
      <c r="J436" s="243">
        <v>16</v>
      </c>
      <c r="K436" s="243">
        <v>141.19999999999999</v>
      </c>
      <c r="L436" s="243">
        <v>580.07000000000005</v>
      </c>
      <c r="M436" s="243">
        <v>-173.47</v>
      </c>
      <c r="N436" s="243">
        <v>547.97</v>
      </c>
      <c r="O436">
        <v>2016</v>
      </c>
      <c r="P436" s="310">
        <f t="shared" si="10"/>
        <v>12</v>
      </c>
      <c r="Q436" s="310"/>
      <c r="R436" s="244">
        <v>42690</v>
      </c>
      <c r="S436" s="240" t="str">
        <f t="shared" si="11"/>
        <v>Dec</v>
      </c>
      <c r="T436" s="230" t="s">
        <v>255</v>
      </c>
    </row>
    <row r="437" spans="1:20" x14ac:dyDescent="0.25">
      <c r="A437" s="243">
        <v>8644005500</v>
      </c>
      <c r="B437" s="240" t="str">
        <f>VLOOKUP(A437,'Energy Provider Accounts'!C:F,2,FALSE)</f>
        <v>Town Hall</v>
      </c>
      <c r="C437" s="243" t="s">
        <v>230</v>
      </c>
      <c r="D437" s="244">
        <v>42754</v>
      </c>
      <c r="E437" s="244">
        <v>42724</v>
      </c>
      <c r="F437" s="243">
        <v>30</v>
      </c>
      <c r="G437" s="243" t="s">
        <v>253</v>
      </c>
      <c r="H437" s="243" t="s">
        <v>254</v>
      </c>
      <c r="I437" s="243">
        <v>5124</v>
      </c>
      <c r="J437" s="243">
        <v>26</v>
      </c>
      <c r="K437" s="243">
        <v>234.16</v>
      </c>
      <c r="L437" s="243">
        <v>538.54999999999995</v>
      </c>
      <c r="M437" s="243">
        <v>-148.9</v>
      </c>
      <c r="N437" s="243">
        <v>624.02</v>
      </c>
      <c r="O437">
        <v>2017</v>
      </c>
      <c r="P437" s="310">
        <f t="shared" si="10"/>
        <v>1</v>
      </c>
      <c r="Q437" s="310"/>
      <c r="R437" s="244">
        <v>42724</v>
      </c>
      <c r="S437" s="240" t="str">
        <f t="shared" si="11"/>
        <v>Jan</v>
      </c>
      <c r="T437" s="230" t="s">
        <v>255</v>
      </c>
    </row>
    <row r="438" spans="1:20" x14ac:dyDescent="0.25">
      <c r="A438" s="243">
        <v>8644005500</v>
      </c>
      <c r="B438" s="240" t="str">
        <f>VLOOKUP(A438,'Energy Provider Accounts'!C:F,2,FALSE)</f>
        <v>Town Hall</v>
      </c>
      <c r="C438" s="243" t="s">
        <v>230</v>
      </c>
      <c r="D438" s="244">
        <v>42787</v>
      </c>
      <c r="E438" s="244">
        <v>42757</v>
      </c>
      <c r="F438" s="243">
        <v>30</v>
      </c>
      <c r="G438" s="243" t="s">
        <v>253</v>
      </c>
      <c r="H438" s="243" t="s">
        <v>254</v>
      </c>
      <c r="I438" s="243">
        <v>4559</v>
      </c>
      <c r="J438" s="243">
        <v>13</v>
      </c>
      <c r="K438" s="243">
        <v>119.27</v>
      </c>
      <c r="L438" s="243">
        <v>675.26</v>
      </c>
      <c r="M438" s="243">
        <v>-225.64</v>
      </c>
      <c r="N438" s="243">
        <v>569.16</v>
      </c>
      <c r="O438">
        <v>2017</v>
      </c>
      <c r="P438" s="310">
        <f t="shared" si="10"/>
        <v>2</v>
      </c>
      <c r="Q438" s="310"/>
      <c r="R438" s="244">
        <v>42757</v>
      </c>
      <c r="S438" s="240" t="str">
        <f t="shared" si="11"/>
        <v>Feb</v>
      </c>
      <c r="T438" s="230" t="s">
        <v>252</v>
      </c>
    </row>
    <row r="439" spans="1:20" x14ac:dyDescent="0.25">
      <c r="A439" s="243">
        <v>8644005500</v>
      </c>
      <c r="B439" s="240" t="str">
        <f>VLOOKUP(A439,'Energy Provider Accounts'!C:F,2,FALSE)</f>
        <v>Town Hall</v>
      </c>
      <c r="C439" s="243" t="s">
        <v>230</v>
      </c>
      <c r="D439" s="244">
        <v>42816</v>
      </c>
      <c r="E439" s="244">
        <v>42786</v>
      </c>
      <c r="F439" s="243">
        <v>30</v>
      </c>
      <c r="G439" s="243" t="s">
        <v>253</v>
      </c>
      <c r="H439" s="243" t="s">
        <v>254</v>
      </c>
      <c r="I439" s="243">
        <v>4209</v>
      </c>
      <c r="J439" s="243">
        <v>23</v>
      </c>
      <c r="K439" s="243">
        <v>202.59</v>
      </c>
      <c r="L439" s="243">
        <v>527.67999999999995</v>
      </c>
      <c r="M439" s="243">
        <v>-149.6</v>
      </c>
      <c r="N439" s="243">
        <v>580.92999999999995</v>
      </c>
      <c r="O439">
        <v>2017</v>
      </c>
      <c r="P439" s="310">
        <f t="shared" si="10"/>
        <v>3</v>
      </c>
      <c r="Q439" s="310"/>
      <c r="R439" s="244">
        <v>42786</v>
      </c>
      <c r="S439" s="240" t="str">
        <f t="shared" si="11"/>
        <v>Mar</v>
      </c>
      <c r="T439" s="230" t="s">
        <v>252</v>
      </c>
    </row>
    <row r="440" spans="1:20" x14ac:dyDescent="0.25">
      <c r="A440" s="243">
        <v>8644005500</v>
      </c>
      <c r="B440" s="240" t="str">
        <f>VLOOKUP(A440,'Energy Provider Accounts'!C:F,2,FALSE)</f>
        <v>Town Hall</v>
      </c>
      <c r="C440" s="243" t="s">
        <v>230</v>
      </c>
      <c r="D440" s="244">
        <v>42846</v>
      </c>
      <c r="E440" s="244">
        <v>42816</v>
      </c>
      <c r="F440" s="243">
        <v>30</v>
      </c>
      <c r="G440" s="243" t="s">
        <v>253</v>
      </c>
      <c r="H440" s="243" t="s">
        <v>254</v>
      </c>
      <c r="I440" s="243">
        <v>4850</v>
      </c>
      <c r="J440" s="243">
        <v>18</v>
      </c>
      <c r="K440" s="243">
        <v>162.25</v>
      </c>
      <c r="L440" s="243">
        <v>615.47</v>
      </c>
      <c r="M440" s="243">
        <v>-189.93</v>
      </c>
      <c r="N440" s="243">
        <v>588.02</v>
      </c>
      <c r="O440">
        <v>2017</v>
      </c>
      <c r="P440" s="310">
        <f t="shared" si="10"/>
        <v>4</v>
      </c>
      <c r="Q440" s="310"/>
      <c r="R440" s="244">
        <v>42816</v>
      </c>
      <c r="S440" s="240" t="str">
        <f t="shared" si="11"/>
        <v>Apr</v>
      </c>
      <c r="T440" s="230" t="s">
        <v>252</v>
      </c>
    </row>
    <row r="441" spans="1:20" x14ac:dyDescent="0.25">
      <c r="A441" s="243">
        <v>8644005500</v>
      </c>
      <c r="B441" s="240" t="str">
        <f>VLOOKUP(A441,'Energy Provider Accounts'!C:F,2,FALSE)</f>
        <v>Town Hall</v>
      </c>
      <c r="C441" s="243" t="s">
        <v>230</v>
      </c>
      <c r="D441" s="244">
        <v>42873</v>
      </c>
      <c r="E441" s="244">
        <v>42843</v>
      </c>
      <c r="F441" s="243">
        <v>30</v>
      </c>
      <c r="G441" s="243" t="s">
        <v>253</v>
      </c>
      <c r="H441" s="243" t="s">
        <v>254</v>
      </c>
      <c r="I441" s="243">
        <v>2829</v>
      </c>
      <c r="J441" s="243">
        <v>24</v>
      </c>
      <c r="K441" s="243">
        <v>217.5</v>
      </c>
      <c r="L441" s="243">
        <v>510.73</v>
      </c>
      <c r="M441" s="243">
        <v>-153.19999999999999</v>
      </c>
      <c r="N441" s="243">
        <v>575.26</v>
      </c>
      <c r="O441">
        <v>2017</v>
      </c>
      <c r="P441" s="310">
        <f t="shared" si="10"/>
        <v>5</v>
      </c>
      <c r="Q441" s="310"/>
      <c r="R441" s="244">
        <v>42843</v>
      </c>
      <c r="S441" s="240" t="str">
        <f t="shared" si="11"/>
        <v>May</v>
      </c>
      <c r="T441" s="231" t="s">
        <v>252</v>
      </c>
    </row>
    <row r="442" spans="1:20" x14ac:dyDescent="0.25">
      <c r="A442" s="243">
        <v>8644005500</v>
      </c>
      <c r="B442" s="240" t="str">
        <f>VLOOKUP(A442,'Energy Provider Accounts'!C:F,2,FALSE)</f>
        <v>Town Hall</v>
      </c>
      <c r="C442" s="243" t="s">
        <v>230</v>
      </c>
      <c r="D442" s="244">
        <v>42906</v>
      </c>
      <c r="E442" s="244">
        <v>42876</v>
      </c>
      <c r="F442" s="243">
        <v>30</v>
      </c>
      <c r="G442" s="243" t="s">
        <v>253</v>
      </c>
      <c r="H442" s="243" t="s">
        <v>254</v>
      </c>
      <c r="I442" s="243">
        <v>3077</v>
      </c>
      <c r="J442" s="243">
        <v>16</v>
      </c>
      <c r="K442" s="243">
        <v>142.94999999999999</v>
      </c>
      <c r="L442" s="243">
        <v>436.18</v>
      </c>
      <c r="M442" s="243">
        <v>-113.5</v>
      </c>
      <c r="N442" s="243">
        <v>465.83</v>
      </c>
      <c r="O442">
        <v>2017</v>
      </c>
      <c r="P442" s="310">
        <f t="shared" si="10"/>
        <v>6</v>
      </c>
      <c r="Q442" s="310"/>
      <c r="R442" s="244">
        <v>42876</v>
      </c>
      <c r="S442" s="240" t="str">
        <f t="shared" si="11"/>
        <v>Jun</v>
      </c>
      <c r="T442" s="230" t="s">
        <v>252</v>
      </c>
    </row>
    <row r="443" spans="1:20" x14ac:dyDescent="0.25">
      <c r="A443" s="243">
        <v>8644005500</v>
      </c>
      <c r="B443" s="240" t="str">
        <f>VLOOKUP(A443,'Energy Provider Accounts'!C:F,2,FALSE)</f>
        <v>Town Hall</v>
      </c>
      <c r="C443" s="243" t="s">
        <v>230</v>
      </c>
      <c r="D443" s="244">
        <v>42936</v>
      </c>
      <c r="E443" s="244">
        <v>42906</v>
      </c>
      <c r="F443" s="243">
        <v>30</v>
      </c>
      <c r="G443" s="243" t="s">
        <v>253</v>
      </c>
      <c r="H443" s="243" t="s">
        <v>254</v>
      </c>
      <c r="I443" s="243">
        <v>3577</v>
      </c>
      <c r="J443" s="243">
        <v>16</v>
      </c>
      <c r="K443" s="243">
        <v>147.58000000000001</v>
      </c>
      <c r="L443" s="243">
        <v>416.37</v>
      </c>
      <c r="M443" s="243">
        <v>-100.7</v>
      </c>
      <c r="N443" s="243">
        <v>463.43</v>
      </c>
      <c r="O443">
        <v>2017</v>
      </c>
      <c r="P443" s="310">
        <f t="shared" si="10"/>
        <v>7</v>
      </c>
      <c r="Q443" s="310"/>
      <c r="R443" s="244">
        <v>42906</v>
      </c>
      <c r="S443" s="240" t="str">
        <f t="shared" si="11"/>
        <v>Jul</v>
      </c>
      <c r="T443" s="230" t="s">
        <v>252</v>
      </c>
    </row>
    <row r="444" spans="1:20" x14ac:dyDescent="0.25">
      <c r="A444" s="243">
        <v>8644005500</v>
      </c>
      <c r="B444" s="240" t="str">
        <f>VLOOKUP(A444,'Energy Provider Accounts'!C:F,2,FALSE)</f>
        <v>Town Hall</v>
      </c>
      <c r="C444" s="243" t="s">
        <v>230</v>
      </c>
      <c r="D444" s="244">
        <v>42964</v>
      </c>
      <c r="E444" s="244">
        <v>42934</v>
      </c>
      <c r="F444" s="243">
        <v>30</v>
      </c>
      <c r="G444" s="243" t="s">
        <v>253</v>
      </c>
      <c r="H444" s="243" t="s">
        <v>254</v>
      </c>
      <c r="I444" s="243">
        <v>2931</v>
      </c>
      <c r="J444" s="243">
        <v>15</v>
      </c>
      <c r="K444" s="243">
        <v>143.15</v>
      </c>
      <c r="L444" s="243">
        <v>442.95</v>
      </c>
      <c r="M444" s="243">
        <v>-117.65</v>
      </c>
      <c r="N444" s="243">
        <v>468.63</v>
      </c>
      <c r="O444">
        <v>2017</v>
      </c>
      <c r="P444" s="310">
        <f t="shared" si="10"/>
        <v>8</v>
      </c>
      <c r="Q444" s="310"/>
      <c r="R444" s="244">
        <v>42934</v>
      </c>
      <c r="S444" s="240" t="str">
        <f t="shared" si="11"/>
        <v>Aug</v>
      </c>
      <c r="T444" s="230" t="s">
        <v>255</v>
      </c>
    </row>
    <row r="445" spans="1:20" x14ac:dyDescent="0.25">
      <c r="A445" s="243">
        <v>8644005500</v>
      </c>
      <c r="B445" s="240" t="str">
        <f>VLOOKUP(A445,'Energy Provider Accounts'!C:F,2,FALSE)</f>
        <v>Town Hall</v>
      </c>
      <c r="C445" s="243" t="s">
        <v>230</v>
      </c>
      <c r="D445" s="244">
        <v>42997</v>
      </c>
      <c r="E445" s="244">
        <v>42967</v>
      </c>
      <c r="F445" s="243">
        <v>30</v>
      </c>
      <c r="G445" s="243" t="s">
        <v>253</v>
      </c>
      <c r="H445" s="243" t="s">
        <v>254</v>
      </c>
      <c r="I445" s="243">
        <v>3165</v>
      </c>
      <c r="J445" s="243">
        <v>13</v>
      </c>
      <c r="K445" s="243">
        <v>124.12</v>
      </c>
      <c r="L445" s="243">
        <v>376.49</v>
      </c>
      <c r="M445" s="243">
        <v>-80.03</v>
      </c>
      <c r="N445" s="243">
        <v>420.75</v>
      </c>
      <c r="O445">
        <v>2017</v>
      </c>
      <c r="P445" s="310">
        <f t="shared" si="10"/>
        <v>9</v>
      </c>
      <c r="Q445" s="310"/>
      <c r="R445" s="244">
        <v>42967</v>
      </c>
      <c r="S445" s="240" t="str">
        <f t="shared" si="11"/>
        <v>Sep</v>
      </c>
      <c r="T445" s="230" t="s">
        <v>255</v>
      </c>
    </row>
    <row r="446" spans="1:20" x14ac:dyDescent="0.25">
      <c r="A446" s="243">
        <v>8644005500</v>
      </c>
      <c r="B446" s="240" t="str">
        <f>VLOOKUP(A446,'Energy Provider Accounts'!C:F,2,FALSE)</f>
        <v>Town Hall</v>
      </c>
      <c r="C446" s="243" t="s">
        <v>230</v>
      </c>
      <c r="D446" s="244">
        <v>43025</v>
      </c>
      <c r="E446" s="244">
        <v>42995</v>
      </c>
      <c r="F446" s="243">
        <v>30</v>
      </c>
      <c r="G446" s="243" t="s">
        <v>253</v>
      </c>
      <c r="H446" s="243" t="s">
        <v>254</v>
      </c>
      <c r="I446" s="243">
        <v>2560</v>
      </c>
      <c r="J446" s="243">
        <v>24</v>
      </c>
      <c r="K446" s="243">
        <v>222.88</v>
      </c>
      <c r="L446" s="243">
        <v>278.76</v>
      </c>
      <c r="M446" s="243">
        <v>-34.909999999999997</v>
      </c>
      <c r="N446" s="243">
        <v>466.92</v>
      </c>
      <c r="O446">
        <v>2017</v>
      </c>
      <c r="P446" s="310">
        <f t="shared" si="10"/>
        <v>10</v>
      </c>
      <c r="Q446" s="310"/>
      <c r="R446" s="244">
        <v>42995</v>
      </c>
      <c r="S446" s="240" t="str">
        <f t="shared" si="11"/>
        <v>Oct</v>
      </c>
      <c r="T446" s="230" t="s">
        <v>255</v>
      </c>
    </row>
    <row r="447" spans="1:20" x14ac:dyDescent="0.25">
      <c r="A447" s="243">
        <v>8644005500</v>
      </c>
      <c r="B447" s="240" t="str">
        <f>VLOOKUP(A447,'Energy Provider Accounts'!C:F,2,FALSE)</f>
        <v>Town Hall</v>
      </c>
      <c r="C447" s="243" t="s">
        <v>230</v>
      </c>
      <c r="D447" s="244">
        <v>43054</v>
      </c>
      <c r="E447" s="244">
        <v>43024</v>
      </c>
      <c r="F447" s="243">
        <v>30</v>
      </c>
      <c r="G447" s="243" t="s">
        <v>253</v>
      </c>
      <c r="H447" s="243" t="s">
        <v>254</v>
      </c>
      <c r="I447" s="243">
        <v>3116</v>
      </c>
      <c r="J447" s="243">
        <v>12</v>
      </c>
      <c r="K447" s="243">
        <v>113.25</v>
      </c>
      <c r="L447" s="243">
        <v>405.68</v>
      </c>
      <c r="M447" s="243">
        <v>-95.89</v>
      </c>
      <c r="N447" s="243">
        <v>423.2</v>
      </c>
      <c r="O447">
        <v>2017</v>
      </c>
      <c r="P447" s="310">
        <f t="shared" si="10"/>
        <v>11</v>
      </c>
      <c r="Q447" s="310"/>
      <c r="R447" s="244">
        <v>43024</v>
      </c>
      <c r="S447" s="240" t="str">
        <f t="shared" si="11"/>
        <v>Nov</v>
      </c>
      <c r="T447" s="230" t="s">
        <v>255</v>
      </c>
    </row>
    <row r="448" spans="1:20" x14ac:dyDescent="0.25">
      <c r="A448" s="243">
        <v>8644005500</v>
      </c>
      <c r="B448" s="240" t="str">
        <f>VLOOKUP(A448,'Energy Provider Accounts'!C:F,2,FALSE)</f>
        <v>Town Hall</v>
      </c>
      <c r="C448" s="243" t="s">
        <v>230</v>
      </c>
      <c r="D448" s="244">
        <v>43087</v>
      </c>
      <c r="E448" s="244">
        <v>43057</v>
      </c>
      <c r="F448" s="243">
        <v>30</v>
      </c>
      <c r="G448" s="243" t="s">
        <v>253</v>
      </c>
      <c r="H448" s="243" t="s">
        <v>254</v>
      </c>
      <c r="I448" s="243">
        <v>4490</v>
      </c>
      <c r="J448" s="243">
        <v>13</v>
      </c>
      <c r="K448" s="243">
        <v>124.12</v>
      </c>
      <c r="L448" s="243">
        <v>592.5</v>
      </c>
      <c r="M448" s="243">
        <v>-180.52</v>
      </c>
      <c r="N448" s="243">
        <v>536.32000000000005</v>
      </c>
      <c r="O448">
        <v>2017</v>
      </c>
      <c r="P448" s="310">
        <f t="shared" si="10"/>
        <v>12</v>
      </c>
      <c r="Q448" s="310"/>
      <c r="R448" s="244">
        <v>43057</v>
      </c>
      <c r="S448" s="240" t="str">
        <f t="shared" si="11"/>
        <v>Dec</v>
      </c>
      <c r="T448" s="230" t="s">
        <v>255</v>
      </c>
    </row>
    <row r="449" spans="1:20" x14ac:dyDescent="0.25">
      <c r="A449" s="243">
        <v>8644005500</v>
      </c>
      <c r="B449" s="240" t="str">
        <f>VLOOKUP(A449,'Energy Provider Accounts'!C:F,2,FALSE)</f>
        <v>Town Hall</v>
      </c>
      <c r="C449" s="243" t="s">
        <v>230</v>
      </c>
      <c r="D449" s="244">
        <v>43118</v>
      </c>
      <c r="E449" s="244">
        <v>43452</v>
      </c>
      <c r="F449" s="243">
        <v>31</v>
      </c>
      <c r="G449" s="243" t="s">
        <v>263</v>
      </c>
      <c r="H449" s="243" t="s">
        <v>254</v>
      </c>
      <c r="I449" s="243">
        <v>6340</v>
      </c>
      <c r="J449" s="243"/>
      <c r="K449" s="243"/>
      <c r="L449" s="243">
        <v>407.84</v>
      </c>
      <c r="M449" s="243">
        <v>373.38</v>
      </c>
      <c r="N449" s="243">
        <v>781.22</v>
      </c>
      <c r="O449" s="318">
        <v>2018</v>
      </c>
      <c r="P449" s="310">
        <f t="shared" si="10"/>
        <v>1</v>
      </c>
      <c r="Q449" s="310"/>
      <c r="R449" s="244">
        <v>43452</v>
      </c>
      <c r="S449" s="261" t="str">
        <f t="shared" si="11"/>
        <v>Jan</v>
      </c>
      <c r="T449" s="230" t="s">
        <v>252</v>
      </c>
    </row>
    <row r="450" spans="1:20" x14ac:dyDescent="0.25">
      <c r="A450" s="243">
        <v>8644005500</v>
      </c>
      <c r="B450" s="240" t="str">
        <f>VLOOKUP(A450,'Energy Provider Accounts'!C:F,2,FALSE)</f>
        <v>Town Hall</v>
      </c>
      <c r="C450" s="243" t="s">
        <v>230</v>
      </c>
      <c r="D450" s="244">
        <v>43152</v>
      </c>
      <c r="E450" s="244">
        <v>43118</v>
      </c>
      <c r="F450" s="243">
        <v>34</v>
      </c>
      <c r="G450" s="243" t="s">
        <v>263</v>
      </c>
      <c r="H450" s="243" t="s">
        <v>254</v>
      </c>
      <c r="I450" s="243">
        <v>5578</v>
      </c>
      <c r="J450" s="243"/>
      <c r="K450" s="243"/>
      <c r="L450" s="243">
        <v>500.26</v>
      </c>
      <c r="M450" s="243">
        <v>341.26</v>
      </c>
      <c r="N450" s="243">
        <v>841.52</v>
      </c>
      <c r="O450" s="318">
        <v>2018</v>
      </c>
      <c r="P450" s="310">
        <f t="shared" si="10"/>
        <v>2</v>
      </c>
      <c r="Q450" s="310"/>
      <c r="R450" s="244">
        <v>43118</v>
      </c>
      <c r="S450" s="261" t="str">
        <f t="shared" si="11"/>
        <v>Feb</v>
      </c>
      <c r="T450" s="230" t="s">
        <v>252</v>
      </c>
    </row>
    <row r="451" spans="1:20" x14ac:dyDescent="0.25">
      <c r="A451" s="243">
        <v>8644005500</v>
      </c>
      <c r="B451" s="240" t="str">
        <f>VLOOKUP(A451,'Energy Provider Accounts'!C:F,2,FALSE)</f>
        <v>Town Hall</v>
      </c>
      <c r="C451" s="243" t="s">
        <v>230</v>
      </c>
      <c r="D451" s="244">
        <v>43179</v>
      </c>
      <c r="E451" s="244">
        <v>43152</v>
      </c>
      <c r="F451" s="243">
        <v>27</v>
      </c>
      <c r="G451" s="243" t="s">
        <v>263</v>
      </c>
      <c r="H451" s="243" t="s">
        <v>254</v>
      </c>
      <c r="I451" s="243">
        <v>3637</v>
      </c>
      <c r="J451" s="243"/>
      <c r="K451" s="243"/>
      <c r="L451" s="243">
        <v>324.83</v>
      </c>
      <c r="M451" s="243">
        <v>230.87</v>
      </c>
      <c r="N451" s="249">
        <v>555.70000000000005</v>
      </c>
      <c r="O451" s="318">
        <v>2018</v>
      </c>
      <c r="P451" s="310">
        <f t="shared" si="10"/>
        <v>3</v>
      </c>
      <c r="Q451" s="310"/>
      <c r="R451" s="244">
        <v>43152</v>
      </c>
      <c r="S451" s="261" t="str">
        <f t="shared" si="11"/>
        <v>Mar</v>
      </c>
      <c r="T451" s="230" t="s">
        <v>252</v>
      </c>
    </row>
    <row r="452" spans="1:20" x14ac:dyDescent="0.25">
      <c r="A452" s="243">
        <v>8644005500</v>
      </c>
      <c r="B452" s="240" t="str">
        <f>VLOOKUP(A452,'Energy Provider Accounts'!C:F,2,FALSE)</f>
        <v>Town Hall</v>
      </c>
      <c r="C452" s="243" t="s">
        <v>230</v>
      </c>
      <c r="D452" s="244">
        <v>43207</v>
      </c>
      <c r="E452" s="244">
        <v>43179</v>
      </c>
      <c r="F452" s="243">
        <v>30</v>
      </c>
      <c r="G452" s="243" t="s">
        <v>263</v>
      </c>
      <c r="H452" s="243" t="s">
        <v>254</v>
      </c>
      <c r="I452" s="243">
        <v>3474</v>
      </c>
      <c r="J452" s="243"/>
      <c r="K452" s="243"/>
      <c r="L452" s="243">
        <v>162.36000000000001</v>
      </c>
      <c r="M452" s="243">
        <v>230.06</v>
      </c>
      <c r="N452" s="243">
        <v>392.42</v>
      </c>
      <c r="O452" s="318">
        <v>2018</v>
      </c>
      <c r="P452" s="310">
        <f t="shared" si="10"/>
        <v>4</v>
      </c>
      <c r="Q452" s="310"/>
      <c r="R452" s="244">
        <v>43179</v>
      </c>
      <c r="S452" s="261" t="str">
        <f t="shared" si="11"/>
        <v>Apr</v>
      </c>
      <c r="T452" s="230" t="s">
        <v>252</v>
      </c>
    </row>
    <row r="453" spans="1:20" x14ac:dyDescent="0.25">
      <c r="A453" s="243">
        <v>8644005500</v>
      </c>
      <c r="B453" s="240" t="str">
        <f>VLOOKUP(A453,'Energy Provider Accounts'!C:F,2,FALSE)</f>
        <v>Town Hall</v>
      </c>
      <c r="C453" s="243" t="s">
        <v>230</v>
      </c>
      <c r="D453" s="244">
        <v>43606</v>
      </c>
      <c r="E453" s="244">
        <v>43207</v>
      </c>
      <c r="F453" s="243">
        <v>34</v>
      </c>
      <c r="G453" s="243" t="s">
        <v>263</v>
      </c>
      <c r="H453" s="243" t="s">
        <v>254</v>
      </c>
      <c r="I453" s="243">
        <v>3468</v>
      </c>
      <c r="J453" s="243">
        <v>23.9</v>
      </c>
      <c r="K453" s="243"/>
      <c r="L453" s="243">
        <v>247.83</v>
      </c>
      <c r="M453" s="243">
        <v>343.89</v>
      </c>
      <c r="N453" s="243">
        <v>591.72</v>
      </c>
      <c r="O453" s="318">
        <v>2018</v>
      </c>
      <c r="P453" s="310">
        <f t="shared" si="10"/>
        <v>5</v>
      </c>
      <c r="Q453" s="310"/>
      <c r="R453" s="244">
        <v>43207</v>
      </c>
      <c r="S453" s="261" t="str">
        <f t="shared" si="11"/>
        <v>May</v>
      </c>
      <c r="T453" s="230" t="s">
        <v>252</v>
      </c>
    </row>
    <row r="454" spans="1:20" x14ac:dyDescent="0.25">
      <c r="A454" s="243">
        <v>8644005500</v>
      </c>
      <c r="B454" s="240" t="str">
        <f>VLOOKUP(A454,'Energy Provider Accounts'!C:F,2,FALSE)</f>
        <v>Town Hall</v>
      </c>
      <c r="C454" s="243" t="s">
        <v>230</v>
      </c>
      <c r="D454" s="244">
        <v>43266</v>
      </c>
      <c r="E454" s="244">
        <v>43241</v>
      </c>
      <c r="F454" s="243">
        <v>25</v>
      </c>
      <c r="G454" s="243" t="s">
        <v>263</v>
      </c>
      <c r="H454" s="243" t="s">
        <v>254</v>
      </c>
      <c r="I454" s="243">
        <v>2392</v>
      </c>
      <c r="J454" s="243">
        <v>13.4</v>
      </c>
      <c r="K454" s="243"/>
      <c r="L454" s="243">
        <v>207.07</v>
      </c>
      <c r="M454" s="243">
        <v>189.14</v>
      </c>
      <c r="N454" s="243">
        <v>396.21</v>
      </c>
      <c r="O454" s="318">
        <v>2018</v>
      </c>
      <c r="P454" s="310">
        <f t="shared" si="10"/>
        <v>6</v>
      </c>
      <c r="Q454" s="310"/>
      <c r="R454" s="244">
        <v>43241</v>
      </c>
      <c r="S454" s="261" t="str">
        <f t="shared" si="11"/>
        <v>Jun</v>
      </c>
      <c r="T454" s="230" t="s">
        <v>252</v>
      </c>
    </row>
    <row r="455" spans="1:20" x14ac:dyDescent="0.25">
      <c r="A455" s="243">
        <v>8644005500</v>
      </c>
      <c r="B455" s="240" t="str">
        <f>VLOOKUP(A455,'Energy Provider Accounts'!C:F,2,FALSE)</f>
        <v>Town Hall</v>
      </c>
      <c r="C455" s="243" t="s">
        <v>230</v>
      </c>
      <c r="D455" s="244">
        <v>43298</v>
      </c>
      <c r="E455" s="244">
        <v>43266</v>
      </c>
      <c r="F455" s="243">
        <v>29</v>
      </c>
      <c r="G455" s="243" t="s">
        <v>263</v>
      </c>
      <c r="H455" s="243" t="s">
        <v>254</v>
      </c>
      <c r="I455" s="243">
        <v>3823</v>
      </c>
      <c r="J455" s="243">
        <v>16.100000000000001</v>
      </c>
      <c r="K455" s="243"/>
      <c r="L455" s="243">
        <v>230.97</v>
      </c>
      <c r="M455" s="243">
        <v>276.49</v>
      </c>
      <c r="N455" s="243">
        <v>507.46</v>
      </c>
      <c r="O455" s="318">
        <v>2018</v>
      </c>
      <c r="P455" s="310">
        <f t="shared" si="10"/>
        <v>7</v>
      </c>
      <c r="Q455" s="310"/>
      <c r="R455" s="244">
        <v>43266</v>
      </c>
      <c r="S455" s="261" t="str">
        <f t="shared" si="11"/>
        <v>Jul</v>
      </c>
      <c r="T455" s="230" t="s">
        <v>252</v>
      </c>
    </row>
    <row r="456" spans="1:20" x14ac:dyDescent="0.25">
      <c r="A456" s="243">
        <v>8644005500</v>
      </c>
      <c r="B456" s="240" t="str">
        <f>VLOOKUP(A456,'Energy Provider Accounts'!C:F,2,FALSE)</f>
        <v>Town Hall</v>
      </c>
      <c r="C456" s="243" t="s">
        <v>230</v>
      </c>
      <c r="D456" s="244">
        <v>43329</v>
      </c>
      <c r="E456" s="244">
        <v>43298</v>
      </c>
      <c r="F456" s="243">
        <v>31</v>
      </c>
      <c r="G456" s="243" t="s">
        <v>263</v>
      </c>
      <c r="H456" s="243" t="s">
        <v>254</v>
      </c>
      <c r="I456" s="243">
        <v>3761</v>
      </c>
      <c r="J456" s="243">
        <v>16.5</v>
      </c>
      <c r="K456" s="243"/>
      <c r="L456" s="243">
        <v>233.29</v>
      </c>
      <c r="M456" s="243">
        <v>303.52999999999997</v>
      </c>
      <c r="N456" s="243">
        <v>536.82000000000005</v>
      </c>
      <c r="O456" s="318">
        <v>2018</v>
      </c>
      <c r="P456" s="310">
        <f t="shared" si="10"/>
        <v>8</v>
      </c>
      <c r="Q456" s="310"/>
      <c r="R456" s="244">
        <v>43298</v>
      </c>
      <c r="S456" s="261" t="str">
        <f t="shared" si="11"/>
        <v>Aug</v>
      </c>
      <c r="T456" s="230" t="s">
        <v>252</v>
      </c>
    </row>
    <row r="457" spans="1:20" x14ac:dyDescent="0.25">
      <c r="A457" s="243">
        <v>8644005500</v>
      </c>
      <c r="B457" s="240" t="str">
        <f>VLOOKUP(A457,'Energy Provider Accounts'!C:F,2,FALSE)</f>
        <v>Town Hall</v>
      </c>
      <c r="C457" s="243" t="s">
        <v>230</v>
      </c>
      <c r="D457" s="244">
        <v>43360</v>
      </c>
      <c r="E457" s="244">
        <v>43329</v>
      </c>
      <c r="F457" s="243">
        <v>31</v>
      </c>
      <c r="G457" s="243" t="s">
        <v>263</v>
      </c>
      <c r="H457" s="243" t="s">
        <v>254</v>
      </c>
      <c r="I457" s="243">
        <v>3379</v>
      </c>
      <c r="J457" s="243">
        <v>17.8</v>
      </c>
      <c r="K457" s="243"/>
      <c r="L457" s="243">
        <v>282.72000000000003</v>
      </c>
      <c r="M457" s="243">
        <v>299.55</v>
      </c>
      <c r="N457" s="243">
        <v>582.27</v>
      </c>
      <c r="O457" s="318">
        <v>2018</v>
      </c>
      <c r="P457" s="310">
        <f t="shared" si="10"/>
        <v>9</v>
      </c>
      <c r="Q457" s="310"/>
      <c r="R457" s="244">
        <v>43329</v>
      </c>
      <c r="S457" s="261" t="str">
        <f t="shared" si="11"/>
        <v>Sep</v>
      </c>
      <c r="T457" s="230" t="s">
        <v>252</v>
      </c>
    </row>
    <row r="458" spans="1:20" x14ac:dyDescent="0.25">
      <c r="A458" s="243">
        <v>8644005500</v>
      </c>
      <c r="B458" s="240" t="str">
        <f>VLOOKUP(A458,'Energy Provider Accounts'!C:F,2,FALSE)</f>
        <v>Town Hall</v>
      </c>
      <c r="C458" s="243" t="s">
        <v>230</v>
      </c>
      <c r="D458" s="244">
        <v>43390</v>
      </c>
      <c r="E458" s="244">
        <v>43360</v>
      </c>
      <c r="F458" s="243">
        <v>30</v>
      </c>
      <c r="G458" s="243" t="s">
        <v>263</v>
      </c>
      <c r="H458" s="243" t="s">
        <v>254</v>
      </c>
      <c r="I458" s="243">
        <v>2754</v>
      </c>
      <c r="J458" s="243">
        <v>23.1</v>
      </c>
      <c r="K458" s="243"/>
      <c r="L458" s="243">
        <v>232.52</v>
      </c>
      <c r="M458" s="243">
        <v>349.14</v>
      </c>
      <c r="N458" s="243">
        <v>581.66</v>
      </c>
      <c r="O458" s="318">
        <v>2018</v>
      </c>
      <c r="P458" s="310">
        <f t="shared" si="10"/>
        <v>10</v>
      </c>
      <c r="Q458" s="310"/>
      <c r="R458" s="244">
        <v>43360</v>
      </c>
      <c r="S458" s="261" t="str">
        <f t="shared" si="11"/>
        <v>Oct</v>
      </c>
      <c r="T458" s="230" t="s">
        <v>252</v>
      </c>
    </row>
    <row r="459" spans="1:20" x14ac:dyDescent="0.25">
      <c r="A459" s="243">
        <v>8644005500</v>
      </c>
      <c r="B459" s="240" t="str">
        <f>VLOOKUP(A459,'Energy Provider Accounts'!C:F,2,FALSE)</f>
        <v>Town Hall</v>
      </c>
      <c r="C459" s="243" t="s">
        <v>230</v>
      </c>
      <c r="D459" s="244">
        <v>43419</v>
      </c>
      <c r="E459" s="244">
        <v>43390</v>
      </c>
      <c r="F459" s="243">
        <v>29</v>
      </c>
      <c r="G459" s="243" t="s">
        <v>263</v>
      </c>
      <c r="H459" s="243" t="s">
        <v>254</v>
      </c>
      <c r="I459" s="243">
        <v>3595</v>
      </c>
      <c r="J459" s="243">
        <v>25.2</v>
      </c>
      <c r="K459" s="243"/>
      <c r="L459" s="243">
        <v>237.53</v>
      </c>
      <c r="M459" s="249">
        <v>383.2</v>
      </c>
      <c r="N459" s="243">
        <v>620.73</v>
      </c>
      <c r="O459" s="318">
        <v>2018</v>
      </c>
      <c r="P459" s="310">
        <f t="shared" si="10"/>
        <v>11</v>
      </c>
      <c r="Q459" s="310"/>
      <c r="R459" s="244">
        <v>43390</v>
      </c>
      <c r="S459" s="261" t="str">
        <f t="shared" si="11"/>
        <v>Nov</v>
      </c>
      <c r="T459" s="230" t="s">
        <v>252</v>
      </c>
    </row>
    <row r="460" spans="1:20" x14ac:dyDescent="0.25">
      <c r="A460" s="243">
        <v>8644005500</v>
      </c>
      <c r="B460" s="240" t="str">
        <f>VLOOKUP(A460,'Energy Provider Accounts'!C:F,2,FALSE)</f>
        <v>Town Hall</v>
      </c>
      <c r="C460" s="243" t="s">
        <v>230</v>
      </c>
      <c r="D460" s="244">
        <v>43451</v>
      </c>
      <c r="E460" s="244">
        <v>43419</v>
      </c>
      <c r="F460" s="243">
        <v>32</v>
      </c>
      <c r="G460" s="243" t="s">
        <v>263</v>
      </c>
      <c r="H460" s="243" t="s">
        <v>254</v>
      </c>
      <c r="I460" s="243">
        <v>4993</v>
      </c>
      <c r="J460" s="243">
        <v>14.7</v>
      </c>
      <c r="K460" s="243"/>
      <c r="L460" s="243">
        <v>223.65</v>
      </c>
      <c r="M460" s="243">
        <v>268.52</v>
      </c>
      <c r="N460" s="243">
        <v>492.17</v>
      </c>
      <c r="O460" s="318">
        <v>2018</v>
      </c>
      <c r="P460" s="310">
        <f t="shared" si="10"/>
        <v>12</v>
      </c>
      <c r="Q460" s="310"/>
      <c r="R460" s="244">
        <v>43419</v>
      </c>
      <c r="S460" s="261" t="str">
        <f t="shared" si="11"/>
        <v>Dec</v>
      </c>
      <c r="T460" s="230" t="s">
        <v>252</v>
      </c>
    </row>
    <row r="461" spans="1:20" x14ac:dyDescent="0.25">
      <c r="A461" s="243">
        <v>8408015000</v>
      </c>
      <c r="B461" s="240" t="str">
        <f>VLOOKUP(A461,'Energy Provider Accounts'!C:F,2,FALSE)</f>
        <v>Transfer Station</v>
      </c>
      <c r="C461" s="243" t="s">
        <v>230</v>
      </c>
      <c r="D461" s="244">
        <v>42032</v>
      </c>
      <c r="E461" s="248">
        <v>41974</v>
      </c>
      <c r="F461" s="243">
        <v>59</v>
      </c>
      <c r="G461" s="243" t="s">
        <v>251</v>
      </c>
      <c r="H461" s="243" t="s">
        <v>254</v>
      </c>
      <c r="I461" s="243">
        <v>445</v>
      </c>
      <c r="J461" s="250"/>
      <c r="K461" s="250"/>
      <c r="L461" s="243">
        <v>38.200000000000003</v>
      </c>
      <c r="M461" s="243">
        <v>76.44</v>
      </c>
      <c r="N461" s="243">
        <v>114.64</v>
      </c>
      <c r="O461">
        <v>2015</v>
      </c>
      <c r="P461" s="310">
        <f t="shared" si="10"/>
        <v>1</v>
      </c>
      <c r="Q461" s="310"/>
      <c r="R461" s="248">
        <v>41974</v>
      </c>
      <c r="S461" s="240" t="str">
        <f t="shared" si="11"/>
        <v>Jan</v>
      </c>
      <c r="T461" s="230" t="s">
        <v>255</v>
      </c>
    </row>
    <row r="462" spans="1:20" x14ac:dyDescent="0.25">
      <c r="A462" s="243">
        <v>8408015000</v>
      </c>
      <c r="B462" s="240" t="str">
        <f>VLOOKUP(A462,'Energy Provider Accounts'!C:F,2,FALSE)</f>
        <v>Transfer Station</v>
      </c>
      <c r="C462" s="243" t="s">
        <v>230</v>
      </c>
      <c r="D462" s="244">
        <v>42095</v>
      </c>
      <c r="E462" s="248">
        <v>42032</v>
      </c>
      <c r="F462" s="243">
        <v>62</v>
      </c>
      <c r="G462" s="243" t="s">
        <v>251</v>
      </c>
      <c r="H462" s="243" t="s">
        <v>254</v>
      </c>
      <c r="I462" s="243">
        <v>1590</v>
      </c>
      <c r="J462" s="250"/>
      <c r="K462" s="250"/>
      <c r="L462" s="243">
        <v>191.26</v>
      </c>
      <c r="M462" s="243">
        <v>93.94</v>
      </c>
      <c r="N462" s="243">
        <v>284.2</v>
      </c>
      <c r="O462">
        <v>2015</v>
      </c>
      <c r="P462" s="310">
        <f t="shared" si="10"/>
        <v>4</v>
      </c>
      <c r="Q462" s="310"/>
      <c r="R462" s="248">
        <v>42032</v>
      </c>
      <c r="S462" s="240" t="str">
        <f t="shared" si="11"/>
        <v>Apr</v>
      </c>
      <c r="T462" s="230" t="s">
        <v>255</v>
      </c>
    </row>
    <row r="463" spans="1:20" x14ac:dyDescent="0.25">
      <c r="A463" s="243">
        <v>8408015000</v>
      </c>
      <c r="B463" s="240" t="str">
        <f>VLOOKUP(A463,'Energy Provider Accounts'!C:F,2,FALSE)</f>
        <v>Transfer Station</v>
      </c>
      <c r="C463" s="243" t="s">
        <v>230</v>
      </c>
      <c r="D463" s="244">
        <v>42157</v>
      </c>
      <c r="E463" s="248">
        <v>42095</v>
      </c>
      <c r="F463" s="243">
        <v>64</v>
      </c>
      <c r="G463" s="243" t="s">
        <v>251</v>
      </c>
      <c r="H463" s="243" t="s">
        <v>254</v>
      </c>
      <c r="I463" s="243">
        <v>132</v>
      </c>
      <c r="J463" s="250"/>
      <c r="K463" s="250"/>
      <c r="L463" s="243">
        <v>8.07</v>
      </c>
      <c r="M463" s="243">
        <v>72.61</v>
      </c>
      <c r="N463" s="243">
        <v>80.680000000000007</v>
      </c>
      <c r="O463">
        <v>2015</v>
      </c>
      <c r="P463" s="310">
        <f t="shared" si="10"/>
        <v>6</v>
      </c>
      <c r="Q463" s="310"/>
      <c r="R463" s="248">
        <v>42095</v>
      </c>
      <c r="S463" s="240" t="str">
        <f t="shared" si="11"/>
        <v>Jun</v>
      </c>
      <c r="T463" s="230" t="s">
        <v>255</v>
      </c>
    </row>
    <row r="464" spans="1:20" x14ac:dyDescent="0.25">
      <c r="A464" s="246">
        <v>8408015000</v>
      </c>
      <c r="B464" s="240" t="str">
        <f>VLOOKUP(A464,'Energy Provider Accounts'!C:F,2,FALSE)</f>
        <v>Transfer Station</v>
      </c>
      <c r="C464" s="246" t="s">
        <v>230</v>
      </c>
      <c r="D464" s="247">
        <v>42216</v>
      </c>
      <c r="E464" s="247">
        <v>42157</v>
      </c>
      <c r="F464" s="246">
        <v>63</v>
      </c>
      <c r="G464" s="246" t="s">
        <v>251</v>
      </c>
      <c r="H464" s="243" t="s">
        <v>254</v>
      </c>
      <c r="I464" s="246">
        <v>940</v>
      </c>
      <c r="J464" s="250"/>
      <c r="K464" s="250"/>
      <c r="L464" s="246">
        <v>123.2</v>
      </c>
      <c r="M464" s="246">
        <v>33.93</v>
      </c>
      <c r="N464" s="246">
        <v>157.18</v>
      </c>
      <c r="O464">
        <v>2015</v>
      </c>
      <c r="P464" s="310">
        <f t="shared" si="10"/>
        <v>7</v>
      </c>
      <c r="Q464" s="310"/>
      <c r="R464" s="247">
        <v>42157</v>
      </c>
      <c r="S464" s="240" t="str">
        <f t="shared" si="11"/>
        <v>Jul</v>
      </c>
      <c r="T464" s="230" t="s">
        <v>255</v>
      </c>
    </row>
    <row r="465" spans="1:20" x14ac:dyDescent="0.25">
      <c r="A465" s="243">
        <v>8408015000</v>
      </c>
      <c r="B465" s="240" t="str">
        <f>VLOOKUP(A465,'Energy Provider Accounts'!C:F,2,FALSE)</f>
        <v>Transfer Station</v>
      </c>
      <c r="C465" s="243" t="s">
        <v>230</v>
      </c>
      <c r="D465" s="244">
        <v>42278</v>
      </c>
      <c r="E465" s="248">
        <v>42216</v>
      </c>
      <c r="F465" s="243">
        <v>62</v>
      </c>
      <c r="G465" s="243" t="s">
        <v>251</v>
      </c>
      <c r="H465" s="243" t="s">
        <v>254</v>
      </c>
      <c r="I465" s="243">
        <v>759</v>
      </c>
      <c r="J465" s="250"/>
      <c r="K465" s="250"/>
      <c r="L465" s="243">
        <v>61</v>
      </c>
      <c r="M465" s="243">
        <v>83.43</v>
      </c>
      <c r="N465" s="243">
        <v>144.43</v>
      </c>
      <c r="O465">
        <v>2015</v>
      </c>
      <c r="P465" s="310">
        <f t="shared" si="10"/>
        <v>10</v>
      </c>
      <c r="Q465" s="310"/>
      <c r="R465" s="248">
        <v>42216</v>
      </c>
      <c r="S465" s="240" t="str">
        <f t="shared" si="11"/>
        <v>Oct</v>
      </c>
      <c r="T465" s="230" t="s">
        <v>255</v>
      </c>
    </row>
    <row r="466" spans="1:20" x14ac:dyDescent="0.25">
      <c r="A466" s="243">
        <v>8408015000</v>
      </c>
      <c r="B466" s="240" t="str">
        <f>VLOOKUP(A466,'Energy Provider Accounts'!C:F,2,FALSE)</f>
        <v>Transfer Station</v>
      </c>
      <c r="C466" s="243" t="s">
        <v>230</v>
      </c>
      <c r="D466" s="244">
        <v>42339</v>
      </c>
      <c r="E466" s="248">
        <v>42278</v>
      </c>
      <c r="F466" s="243">
        <v>62</v>
      </c>
      <c r="G466" s="243" t="s">
        <v>251</v>
      </c>
      <c r="H466" s="243" t="s">
        <v>254</v>
      </c>
      <c r="I466" s="243">
        <v>486</v>
      </c>
      <c r="J466" s="250"/>
      <c r="K466" s="250"/>
      <c r="L466" s="243">
        <v>33.04</v>
      </c>
      <c r="M466" s="243">
        <v>79.239999999999995</v>
      </c>
      <c r="N466" s="243">
        <v>112.28</v>
      </c>
      <c r="O466">
        <v>2015</v>
      </c>
      <c r="P466" s="310">
        <f t="shared" si="10"/>
        <v>12</v>
      </c>
      <c r="Q466" s="310"/>
      <c r="R466" s="248">
        <v>42278</v>
      </c>
      <c r="S466" s="240" t="str">
        <f t="shared" si="11"/>
        <v>Dec</v>
      </c>
      <c r="T466" s="230" t="s">
        <v>255</v>
      </c>
    </row>
    <row r="467" spans="1:20" x14ac:dyDescent="0.25">
      <c r="A467" s="243">
        <v>8408015000</v>
      </c>
      <c r="B467" s="240" t="str">
        <f>VLOOKUP(A467,'Energy Provider Accounts'!C:F,2,FALSE)</f>
        <v>Transfer Station</v>
      </c>
      <c r="C467" s="243" t="s">
        <v>230</v>
      </c>
      <c r="D467" s="244">
        <v>42398</v>
      </c>
      <c r="E467" s="248">
        <v>42339</v>
      </c>
      <c r="F467" s="243">
        <v>60</v>
      </c>
      <c r="G467" s="243" t="s">
        <v>253</v>
      </c>
      <c r="H467" s="243" t="s">
        <v>254</v>
      </c>
      <c r="I467" s="243">
        <v>1209</v>
      </c>
      <c r="J467" s="243">
        <v>0</v>
      </c>
      <c r="K467" s="243">
        <v>0</v>
      </c>
      <c r="L467" s="243">
        <v>136.29</v>
      </c>
      <c r="M467" s="243">
        <v>20.67</v>
      </c>
      <c r="N467" s="243">
        <v>157.04</v>
      </c>
      <c r="O467">
        <v>2016</v>
      </c>
      <c r="P467" s="310">
        <f t="shared" si="10"/>
        <v>1</v>
      </c>
      <c r="Q467" s="310"/>
      <c r="R467" s="248">
        <v>42339</v>
      </c>
      <c r="S467" s="240" t="str">
        <f t="shared" si="11"/>
        <v>Jan</v>
      </c>
      <c r="T467" s="230" t="s">
        <v>255</v>
      </c>
    </row>
    <row r="468" spans="1:20" x14ac:dyDescent="0.25">
      <c r="A468" s="243">
        <v>8408015000</v>
      </c>
      <c r="B468" s="240" t="str">
        <f>VLOOKUP(A468,'Energy Provider Accounts'!C:F,2,FALSE)</f>
        <v>Transfer Station</v>
      </c>
      <c r="C468" s="243" t="s">
        <v>230</v>
      </c>
      <c r="D468" s="244">
        <v>42458</v>
      </c>
      <c r="E468" s="244">
        <v>42398</v>
      </c>
      <c r="F468" s="243">
        <v>60</v>
      </c>
      <c r="G468" s="243" t="s">
        <v>253</v>
      </c>
      <c r="H468" s="243" t="s">
        <v>254</v>
      </c>
      <c r="I468" s="243">
        <v>1012</v>
      </c>
      <c r="J468" s="243">
        <v>0</v>
      </c>
      <c r="K468" s="243">
        <v>0</v>
      </c>
      <c r="L468" s="243">
        <v>165</v>
      </c>
      <c r="M468" s="243">
        <v>5.19</v>
      </c>
      <c r="N468" s="243">
        <v>170.24</v>
      </c>
      <c r="O468">
        <v>2016</v>
      </c>
      <c r="P468" s="310">
        <f t="shared" si="10"/>
        <v>3</v>
      </c>
      <c r="Q468" s="310"/>
      <c r="R468" s="244">
        <v>42398</v>
      </c>
      <c r="S468" s="240" t="str">
        <f t="shared" si="11"/>
        <v>Mar</v>
      </c>
      <c r="T468" s="230" t="s">
        <v>255</v>
      </c>
    </row>
    <row r="469" spans="1:20" x14ac:dyDescent="0.25">
      <c r="A469" s="243">
        <v>8408015000</v>
      </c>
      <c r="B469" s="240" t="str">
        <f>VLOOKUP(A469,'Energy Provider Accounts'!C:F,2,FALSE)</f>
        <v>Transfer Station</v>
      </c>
      <c r="C469" s="243" t="s">
        <v>230</v>
      </c>
      <c r="D469" s="244">
        <v>42517</v>
      </c>
      <c r="E469" s="244">
        <v>42457</v>
      </c>
      <c r="F469" s="243">
        <v>60</v>
      </c>
      <c r="G469" s="243" t="s">
        <v>253</v>
      </c>
      <c r="H469" s="243" t="s">
        <v>254</v>
      </c>
      <c r="I469" s="243">
        <v>313</v>
      </c>
      <c r="J469" s="243">
        <v>0</v>
      </c>
      <c r="K469" s="243">
        <v>0</v>
      </c>
      <c r="L469" s="243">
        <v>41.56</v>
      </c>
      <c r="M469" s="243">
        <v>54.5</v>
      </c>
      <c r="N469" s="243">
        <v>96.09</v>
      </c>
      <c r="O469">
        <v>2016</v>
      </c>
      <c r="P469" s="310">
        <f t="shared" si="10"/>
        <v>5</v>
      </c>
      <c r="Q469" s="310"/>
      <c r="R469" s="244">
        <v>42457</v>
      </c>
      <c r="S469" s="240" t="str">
        <f t="shared" si="11"/>
        <v>May</v>
      </c>
      <c r="T469" s="230" t="s">
        <v>255</v>
      </c>
    </row>
    <row r="470" spans="1:20" x14ac:dyDescent="0.25">
      <c r="A470" s="243">
        <v>8408015000</v>
      </c>
      <c r="B470" s="240" t="str">
        <f>VLOOKUP(A470,'Energy Provider Accounts'!C:F,2,FALSE)</f>
        <v>Transfer Station</v>
      </c>
      <c r="C470" s="243" t="s">
        <v>230</v>
      </c>
      <c r="D470" s="244">
        <v>42551</v>
      </c>
      <c r="E470" s="244">
        <v>42521</v>
      </c>
      <c r="F470" s="243">
        <v>30</v>
      </c>
      <c r="G470" s="243" t="s">
        <v>256</v>
      </c>
      <c r="H470" s="243" t="s">
        <v>254</v>
      </c>
      <c r="I470" s="243">
        <v>209</v>
      </c>
      <c r="J470" s="243">
        <v>0</v>
      </c>
      <c r="K470" s="243">
        <v>0</v>
      </c>
      <c r="L470" s="243">
        <v>26.26</v>
      </c>
      <c r="M470" s="243">
        <v>25.26</v>
      </c>
      <c r="N470" s="243">
        <v>51.53</v>
      </c>
      <c r="O470">
        <v>2016</v>
      </c>
      <c r="P470" s="310">
        <f t="shared" si="10"/>
        <v>6</v>
      </c>
      <c r="Q470" s="310"/>
      <c r="R470" s="244">
        <v>42521</v>
      </c>
      <c r="S470" s="240" t="str">
        <f t="shared" si="11"/>
        <v>Jun</v>
      </c>
      <c r="T470" s="230" t="s">
        <v>255</v>
      </c>
    </row>
    <row r="471" spans="1:20" x14ac:dyDescent="0.25">
      <c r="A471" s="243">
        <v>8408015000</v>
      </c>
      <c r="B471" s="240" t="str">
        <f>VLOOKUP(A471,'Energy Provider Accounts'!C:F,2,FALSE)</f>
        <v>Transfer Station</v>
      </c>
      <c r="C471" s="243" t="s">
        <v>230</v>
      </c>
      <c r="D471" s="244">
        <v>42583</v>
      </c>
      <c r="E471" s="244">
        <v>42553</v>
      </c>
      <c r="F471" s="243">
        <v>30</v>
      </c>
      <c r="G471" s="243" t="s">
        <v>256</v>
      </c>
      <c r="H471" s="243" t="s">
        <v>254</v>
      </c>
      <c r="I471" s="243">
        <v>197</v>
      </c>
      <c r="J471" s="243">
        <v>0</v>
      </c>
      <c r="K471" s="243">
        <v>0</v>
      </c>
      <c r="L471" s="243">
        <v>21.47</v>
      </c>
      <c r="M471" s="243">
        <v>29.34</v>
      </c>
      <c r="N471" s="243">
        <v>50.82</v>
      </c>
      <c r="O471">
        <v>2016</v>
      </c>
      <c r="P471" s="310">
        <f t="shared" si="10"/>
        <v>8</v>
      </c>
      <c r="Q471" s="310"/>
      <c r="R471" s="244">
        <v>42553</v>
      </c>
      <c r="S471" s="240" t="str">
        <f t="shared" si="11"/>
        <v>Aug</v>
      </c>
      <c r="T471" s="230" t="s">
        <v>255</v>
      </c>
    </row>
    <row r="472" spans="1:20" x14ac:dyDescent="0.25">
      <c r="A472" s="243">
        <v>8408015000</v>
      </c>
      <c r="B472" s="240" t="str">
        <f>VLOOKUP(A472,'Energy Provider Accounts'!C:F,2,FALSE)</f>
        <v>Transfer Station</v>
      </c>
      <c r="C472" s="243" t="s">
        <v>230</v>
      </c>
      <c r="D472" s="244">
        <v>42612</v>
      </c>
      <c r="E472" s="244">
        <v>42582</v>
      </c>
      <c r="F472" s="243">
        <v>30</v>
      </c>
      <c r="G472" s="243" t="s">
        <v>256</v>
      </c>
      <c r="H472" s="243" t="s">
        <v>254</v>
      </c>
      <c r="I472" s="243">
        <v>173</v>
      </c>
      <c r="J472" s="243">
        <v>0</v>
      </c>
      <c r="K472" s="243">
        <v>0</v>
      </c>
      <c r="L472" s="243">
        <v>26.07</v>
      </c>
      <c r="M472" s="243">
        <v>26.54</v>
      </c>
      <c r="N472" s="243">
        <v>52.62</v>
      </c>
      <c r="O472">
        <v>2016</v>
      </c>
      <c r="P472" s="310">
        <f t="shared" si="10"/>
        <v>8</v>
      </c>
      <c r="Q472" s="310"/>
      <c r="R472" s="244">
        <v>42582</v>
      </c>
      <c r="S472" s="240" t="str">
        <f t="shared" si="11"/>
        <v>Aug</v>
      </c>
      <c r="T472" s="230" t="s">
        <v>255</v>
      </c>
    </row>
    <row r="473" spans="1:20" x14ac:dyDescent="0.25">
      <c r="A473" s="243">
        <v>8408015000</v>
      </c>
      <c r="B473" s="240" t="str">
        <f>VLOOKUP(A473,'Energy Provider Accounts'!C:F,2,FALSE)</f>
        <v>Transfer Station</v>
      </c>
      <c r="C473" s="243" t="s">
        <v>230</v>
      </c>
      <c r="D473" s="244">
        <v>42642</v>
      </c>
      <c r="E473" s="244">
        <v>42612</v>
      </c>
      <c r="F473" s="243">
        <v>30</v>
      </c>
      <c r="G473" s="243" t="s">
        <v>256</v>
      </c>
      <c r="H473" s="243" t="s">
        <v>254</v>
      </c>
      <c r="I473" s="243">
        <v>367</v>
      </c>
      <c r="J473" s="243">
        <v>0</v>
      </c>
      <c r="K473" s="243">
        <v>0</v>
      </c>
      <c r="L473" s="243">
        <v>50.02</v>
      </c>
      <c r="M473" s="243">
        <v>19.7</v>
      </c>
      <c r="N473" s="243">
        <v>69.75</v>
      </c>
      <c r="O473">
        <v>2016</v>
      </c>
      <c r="P473" s="310">
        <f t="shared" si="10"/>
        <v>9</v>
      </c>
      <c r="Q473" s="310"/>
      <c r="R473" s="244">
        <v>42612</v>
      </c>
      <c r="S473" s="240" t="str">
        <f t="shared" si="11"/>
        <v>Sep</v>
      </c>
      <c r="T473" s="230" t="s">
        <v>255</v>
      </c>
    </row>
    <row r="474" spans="1:20" x14ac:dyDescent="0.25">
      <c r="A474" s="243">
        <v>8408015000</v>
      </c>
      <c r="B474" s="240" t="str">
        <f>VLOOKUP(A474,'Energy Provider Accounts'!C:F,2,FALSE)</f>
        <v>Transfer Station</v>
      </c>
      <c r="C474" s="243" t="s">
        <v>230</v>
      </c>
      <c r="D474" s="244">
        <v>42671</v>
      </c>
      <c r="E474" s="244">
        <v>42641</v>
      </c>
      <c r="F474" s="243">
        <v>30</v>
      </c>
      <c r="G474" s="243" t="s">
        <v>256</v>
      </c>
      <c r="H474" s="243" t="s">
        <v>254</v>
      </c>
      <c r="I474" s="243">
        <v>234</v>
      </c>
      <c r="J474" s="243">
        <v>0</v>
      </c>
      <c r="K474" s="243">
        <v>0</v>
      </c>
      <c r="L474" s="243">
        <v>26.34</v>
      </c>
      <c r="M474" s="243">
        <v>28.08</v>
      </c>
      <c r="N474" s="243">
        <v>54.44</v>
      </c>
      <c r="O474">
        <v>2016</v>
      </c>
      <c r="P474" s="310">
        <f t="shared" si="10"/>
        <v>10</v>
      </c>
      <c r="Q474" s="310"/>
      <c r="R474" s="244">
        <v>42641</v>
      </c>
      <c r="S474" s="240" t="str">
        <f t="shared" si="11"/>
        <v>Oct</v>
      </c>
      <c r="T474" s="230" t="s">
        <v>255</v>
      </c>
    </row>
    <row r="475" spans="1:20" x14ac:dyDescent="0.25">
      <c r="A475" s="243">
        <v>8408015000</v>
      </c>
      <c r="B475" s="240" t="str">
        <f>VLOOKUP(A475,'Energy Provider Accounts'!C:F,2,FALSE)</f>
        <v>Transfer Station</v>
      </c>
      <c r="C475" s="243" t="s">
        <v>230</v>
      </c>
      <c r="D475" s="244">
        <v>42704</v>
      </c>
      <c r="E475" s="244">
        <v>42644</v>
      </c>
      <c r="F475" s="243">
        <v>60</v>
      </c>
      <c r="G475" s="243" t="s">
        <v>253</v>
      </c>
      <c r="H475" s="243" t="s">
        <v>254</v>
      </c>
      <c r="I475" s="243">
        <v>183</v>
      </c>
      <c r="J475" s="243">
        <v>0</v>
      </c>
      <c r="K475" s="243">
        <v>0</v>
      </c>
      <c r="L475" s="243">
        <v>23.26</v>
      </c>
      <c r="M475" s="243">
        <v>63.25</v>
      </c>
      <c r="N475" s="243">
        <v>86.53</v>
      </c>
      <c r="O475">
        <v>2016</v>
      </c>
      <c r="P475" s="310">
        <f t="shared" ref="P475:P538" si="12">MONTH(D475)</f>
        <v>11</v>
      </c>
      <c r="Q475" s="310"/>
      <c r="R475" s="244">
        <v>42644</v>
      </c>
      <c r="S475" s="240" t="str">
        <f t="shared" si="11"/>
        <v>Nov</v>
      </c>
      <c r="T475" s="230" t="s">
        <v>255</v>
      </c>
    </row>
    <row r="476" spans="1:20" x14ac:dyDescent="0.25">
      <c r="A476" s="243">
        <v>8408015000</v>
      </c>
      <c r="B476" s="240" t="str">
        <f>VLOOKUP(A476,'Energy Provider Accounts'!C:F,2,FALSE)</f>
        <v>Transfer Station</v>
      </c>
      <c r="C476" s="243" t="s">
        <v>230</v>
      </c>
      <c r="D476" s="244">
        <v>42738</v>
      </c>
      <c r="E476" s="244">
        <v>42708</v>
      </c>
      <c r="F476" s="243">
        <v>30</v>
      </c>
      <c r="G476" s="243" t="s">
        <v>256</v>
      </c>
      <c r="H476" s="243" t="s">
        <v>254</v>
      </c>
      <c r="I476" s="243">
        <v>685</v>
      </c>
      <c r="J476" s="243">
        <v>0</v>
      </c>
      <c r="K476" s="243">
        <v>0</v>
      </c>
      <c r="L476" s="243">
        <v>78.92</v>
      </c>
      <c r="M476" s="243">
        <v>13.41</v>
      </c>
      <c r="N476" s="243">
        <v>92.36</v>
      </c>
      <c r="O476">
        <v>2017</v>
      </c>
      <c r="P476" s="310">
        <f t="shared" si="12"/>
        <v>1</v>
      </c>
      <c r="Q476" s="310"/>
      <c r="R476" s="244">
        <v>42708</v>
      </c>
      <c r="S476" s="240" t="str">
        <f t="shared" si="11"/>
        <v>Jan</v>
      </c>
      <c r="T476" s="230" t="s">
        <v>255</v>
      </c>
    </row>
    <row r="477" spans="1:20" x14ac:dyDescent="0.25">
      <c r="A477" s="243">
        <v>8408015000</v>
      </c>
      <c r="B477" s="240" t="str">
        <f>VLOOKUP(A477,'Energy Provider Accounts'!C:F,2,FALSE)</f>
        <v>Transfer Station</v>
      </c>
      <c r="C477" s="243" t="s">
        <v>230</v>
      </c>
      <c r="D477" s="244">
        <v>42767</v>
      </c>
      <c r="E477" s="244">
        <v>42737</v>
      </c>
      <c r="F477" s="243">
        <v>30</v>
      </c>
      <c r="G477" s="243" t="s">
        <v>256</v>
      </c>
      <c r="H477" s="243" t="s">
        <v>254</v>
      </c>
      <c r="I477" s="243">
        <v>594</v>
      </c>
      <c r="J477" s="243">
        <v>0</v>
      </c>
      <c r="K477" s="243">
        <v>0</v>
      </c>
      <c r="L477" s="243">
        <v>81.680000000000007</v>
      </c>
      <c r="M477" s="243">
        <v>4.7300000000000004</v>
      </c>
      <c r="N477" s="243">
        <v>86.45</v>
      </c>
      <c r="O477">
        <v>2017</v>
      </c>
      <c r="P477" s="310">
        <f t="shared" si="12"/>
        <v>2</v>
      </c>
      <c r="Q477" s="310"/>
      <c r="R477" s="244">
        <v>42737</v>
      </c>
      <c r="S477" s="240" t="str">
        <f t="shared" ref="S477:S540" si="13">CHOOSE(P477,"Jan","Feb","Mar","Apr","May","Jun","Jul","Aug","Sep","Oct","Nov","Dec")</f>
        <v>Feb</v>
      </c>
    </row>
    <row r="478" spans="1:20" x14ac:dyDescent="0.25">
      <c r="A478" s="243">
        <v>8408015000</v>
      </c>
      <c r="B478" s="240" t="str">
        <f>VLOOKUP(A478,'Energy Provider Accounts'!C:F,2,FALSE)</f>
        <v>Transfer Station</v>
      </c>
      <c r="C478" s="243" t="s">
        <v>230</v>
      </c>
      <c r="D478" s="244">
        <v>42796</v>
      </c>
      <c r="E478" s="244">
        <v>42766</v>
      </c>
      <c r="F478" s="243">
        <v>30</v>
      </c>
      <c r="G478" s="243" t="s">
        <v>256</v>
      </c>
      <c r="H478" s="243" t="s">
        <v>254</v>
      </c>
      <c r="I478" s="243">
        <v>489</v>
      </c>
      <c r="J478" s="243">
        <v>0</v>
      </c>
      <c r="K478" s="243">
        <v>0</v>
      </c>
      <c r="L478" s="243">
        <v>72.27</v>
      </c>
      <c r="M478" s="243">
        <v>7.73</v>
      </c>
      <c r="N478" s="243">
        <v>80.03</v>
      </c>
      <c r="O478">
        <v>2017</v>
      </c>
      <c r="P478" s="310">
        <f t="shared" si="12"/>
        <v>3</v>
      </c>
      <c r="Q478" s="310"/>
      <c r="R478" s="244">
        <v>42766</v>
      </c>
      <c r="S478" s="240" t="str">
        <f t="shared" si="13"/>
        <v>Mar</v>
      </c>
    </row>
    <row r="479" spans="1:20" x14ac:dyDescent="0.25">
      <c r="A479" s="243">
        <v>8408015000</v>
      </c>
      <c r="B479" s="240" t="str">
        <f>VLOOKUP(A479,'Energy Provider Accounts'!C:F,2,FALSE)</f>
        <v>Transfer Station</v>
      </c>
      <c r="C479" s="243" t="s">
        <v>230</v>
      </c>
      <c r="D479" s="244">
        <v>42825</v>
      </c>
      <c r="E479" s="244">
        <v>42795</v>
      </c>
      <c r="F479" s="243">
        <v>30</v>
      </c>
      <c r="G479" s="243" t="s">
        <v>256</v>
      </c>
      <c r="H479" s="243" t="s">
        <v>254</v>
      </c>
      <c r="I479" s="243">
        <v>489</v>
      </c>
      <c r="J479" s="243">
        <v>0</v>
      </c>
      <c r="K479" s="243">
        <v>0</v>
      </c>
      <c r="L479" s="243">
        <v>56.69</v>
      </c>
      <c r="M479" s="243">
        <v>15.88</v>
      </c>
      <c r="N479" s="243">
        <v>72.61</v>
      </c>
      <c r="O479">
        <v>2017</v>
      </c>
      <c r="P479" s="310">
        <f t="shared" si="12"/>
        <v>3</v>
      </c>
      <c r="Q479" s="310"/>
      <c r="R479" s="244">
        <v>42795</v>
      </c>
      <c r="S479" s="240" t="str">
        <f t="shared" si="13"/>
        <v>Mar</v>
      </c>
    </row>
    <row r="480" spans="1:20" x14ac:dyDescent="0.25">
      <c r="A480" s="243">
        <v>8408015000</v>
      </c>
      <c r="B480" s="240" t="str">
        <f>VLOOKUP(A480,'Energy Provider Accounts'!C:F,2,FALSE)</f>
        <v>Transfer Station</v>
      </c>
      <c r="C480" s="243" t="s">
        <v>230</v>
      </c>
      <c r="D480" s="244">
        <v>42856</v>
      </c>
      <c r="E480" s="244">
        <v>42826</v>
      </c>
      <c r="F480" s="243">
        <v>30</v>
      </c>
      <c r="G480" s="243" t="s">
        <v>256</v>
      </c>
      <c r="H480" s="243" t="s">
        <v>254</v>
      </c>
      <c r="I480" s="243">
        <v>161</v>
      </c>
      <c r="J480" s="243">
        <v>0</v>
      </c>
      <c r="K480" s="243">
        <v>0</v>
      </c>
      <c r="L480" s="243">
        <v>25.83</v>
      </c>
      <c r="M480" s="243">
        <v>24.99</v>
      </c>
      <c r="N480" s="243">
        <v>50.84</v>
      </c>
      <c r="O480">
        <v>2017</v>
      </c>
      <c r="P480" s="310">
        <f t="shared" si="12"/>
        <v>5</v>
      </c>
      <c r="Q480" s="310"/>
      <c r="R480" s="244">
        <v>42826</v>
      </c>
      <c r="S480" s="240" t="str">
        <f t="shared" si="13"/>
        <v>May</v>
      </c>
    </row>
    <row r="481" spans="1:20" x14ac:dyDescent="0.25">
      <c r="A481" s="243">
        <v>8408015000</v>
      </c>
      <c r="B481" s="240" t="str">
        <f>VLOOKUP(A481,'Energy Provider Accounts'!C:F,2,FALSE)</f>
        <v>Transfer Station</v>
      </c>
      <c r="C481" s="243" t="s">
        <v>230</v>
      </c>
      <c r="D481" s="244">
        <v>42886</v>
      </c>
      <c r="E481" s="244">
        <v>42856</v>
      </c>
      <c r="F481" s="243">
        <v>30</v>
      </c>
      <c r="G481" s="243" t="s">
        <v>256</v>
      </c>
      <c r="H481" s="243" t="s">
        <v>254</v>
      </c>
      <c r="I481" s="243">
        <v>159</v>
      </c>
      <c r="J481" s="243">
        <v>0</v>
      </c>
      <c r="K481" s="243">
        <v>0</v>
      </c>
      <c r="L481" s="243">
        <v>27.35</v>
      </c>
      <c r="M481" s="243">
        <v>24.2</v>
      </c>
      <c r="N481" s="243">
        <v>51.57</v>
      </c>
      <c r="O481">
        <v>2017</v>
      </c>
      <c r="P481" s="310">
        <f t="shared" si="12"/>
        <v>5</v>
      </c>
      <c r="Q481" s="310"/>
      <c r="R481" s="244">
        <v>42856</v>
      </c>
      <c r="S481" s="240" t="str">
        <f t="shared" si="13"/>
        <v>May</v>
      </c>
    </row>
    <row r="482" spans="1:20" x14ac:dyDescent="0.25">
      <c r="A482" s="243">
        <v>8408015000</v>
      </c>
      <c r="B482" s="240" t="str">
        <f>VLOOKUP(A482,'Energy Provider Accounts'!C:F,2,FALSE)</f>
        <v>Transfer Station</v>
      </c>
      <c r="C482" s="243" t="s">
        <v>230</v>
      </c>
      <c r="D482" s="244">
        <v>42915</v>
      </c>
      <c r="E482" s="244">
        <v>42885</v>
      </c>
      <c r="F482" s="243">
        <v>30</v>
      </c>
      <c r="G482" s="243" t="s">
        <v>256</v>
      </c>
      <c r="H482" s="243" t="s">
        <v>254</v>
      </c>
      <c r="I482" s="243">
        <v>415</v>
      </c>
      <c r="J482" s="243">
        <v>0</v>
      </c>
      <c r="K482" s="243">
        <v>0</v>
      </c>
      <c r="L482" s="243">
        <v>51.68</v>
      </c>
      <c r="M482" s="243">
        <v>16.690000000000001</v>
      </c>
      <c r="N482" s="243">
        <v>68.400000000000006</v>
      </c>
      <c r="O482">
        <v>2017</v>
      </c>
      <c r="P482" s="310">
        <f t="shared" si="12"/>
        <v>6</v>
      </c>
      <c r="Q482" s="310"/>
      <c r="R482" s="244">
        <v>42885</v>
      </c>
      <c r="S482" s="240" t="str">
        <f t="shared" si="13"/>
        <v>Jun</v>
      </c>
    </row>
    <row r="483" spans="1:20" x14ac:dyDescent="0.25">
      <c r="A483" s="243">
        <v>8408015000</v>
      </c>
      <c r="B483" s="240" t="str">
        <f>VLOOKUP(A483,'Energy Provider Accounts'!C:F,2,FALSE)</f>
        <v>Transfer Station</v>
      </c>
      <c r="C483" s="243" t="s">
        <v>230</v>
      </c>
      <c r="D483" s="244">
        <v>42944</v>
      </c>
      <c r="E483" s="244">
        <v>42914</v>
      </c>
      <c r="F483" s="243">
        <v>30</v>
      </c>
      <c r="G483" s="243" t="s">
        <v>253</v>
      </c>
      <c r="H483" s="243" t="s">
        <v>254</v>
      </c>
      <c r="I483" s="243">
        <v>1059</v>
      </c>
      <c r="J483" s="243">
        <v>0</v>
      </c>
      <c r="K483" s="243">
        <v>0</v>
      </c>
      <c r="L483" s="243">
        <v>146.97999999999999</v>
      </c>
      <c r="M483" s="243">
        <v>-3.44</v>
      </c>
      <c r="N483" s="243">
        <v>143.6</v>
      </c>
      <c r="O483">
        <v>2017</v>
      </c>
      <c r="P483" s="310">
        <f t="shared" si="12"/>
        <v>7</v>
      </c>
      <c r="Q483" s="310"/>
      <c r="R483" s="244">
        <v>42914</v>
      </c>
      <c r="S483" s="240" t="str">
        <f t="shared" si="13"/>
        <v>Jul</v>
      </c>
    </row>
    <row r="484" spans="1:20" x14ac:dyDescent="0.25">
      <c r="A484" s="243">
        <v>8408015000</v>
      </c>
      <c r="B484" s="240" t="str">
        <f>VLOOKUP(A484,'Energy Provider Accounts'!C:F,2,FALSE)</f>
        <v>Transfer Station</v>
      </c>
      <c r="C484" s="243" t="s">
        <v>230</v>
      </c>
      <c r="D484" s="244">
        <v>42976</v>
      </c>
      <c r="E484" s="244">
        <v>42946</v>
      </c>
      <c r="F484" s="243">
        <v>30</v>
      </c>
      <c r="G484" s="243" t="s">
        <v>256</v>
      </c>
      <c r="H484" s="243" t="s">
        <v>254</v>
      </c>
      <c r="I484" s="243">
        <v>384</v>
      </c>
      <c r="J484" s="243">
        <v>0</v>
      </c>
      <c r="K484" s="243">
        <v>0</v>
      </c>
      <c r="L484" s="243">
        <v>54.94</v>
      </c>
      <c r="M484" s="243">
        <v>20.97</v>
      </c>
      <c r="N484" s="243">
        <v>75.94</v>
      </c>
      <c r="O484">
        <v>2017</v>
      </c>
      <c r="P484" s="310">
        <f t="shared" si="12"/>
        <v>8</v>
      </c>
      <c r="Q484" s="310"/>
      <c r="R484" s="244">
        <v>42946</v>
      </c>
      <c r="S484" s="240" t="str">
        <f t="shared" si="13"/>
        <v>Aug</v>
      </c>
    </row>
    <row r="485" spans="1:20" x14ac:dyDescent="0.25">
      <c r="A485" s="243">
        <v>8408015000</v>
      </c>
      <c r="B485" s="240" t="str">
        <f>VLOOKUP(A485,'Energy Provider Accounts'!C:F,2,FALSE)</f>
        <v>Transfer Station</v>
      </c>
      <c r="C485" s="243" t="s">
        <v>230</v>
      </c>
      <c r="D485" s="244">
        <v>43007</v>
      </c>
      <c r="E485" s="244">
        <v>42947</v>
      </c>
      <c r="F485" s="243">
        <v>60</v>
      </c>
      <c r="G485" s="243" t="s">
        <v>253</v>
      </c>
      <c r="H485" s="243" t="s">
        <v>254</v>
      </c>
      <c r="I485" s="243">
        <v>312</v>
      </c>
      <c r="J485" s="243">
        <v>0</v>
      </c>
      <c r="K485" s="243">
        <v>0</v>
      </c>
      <c r="L485" s="243">
        <v>40.28</v>
      </c>
      <c r="M485" s="243">
        <v>60.88</v>
      </c>
      <c r="N485" s="243">
        <v>101.19</v>
      </c>
      <c r="O485">
        <v>2017</v>
      </c>
      <c r="P485" s="310">
        <f t="shared" si="12"/>
        <v>9</v>
      </c>
      <c r="Q485" s="310"/>
      <c r="R485" s="244">
        <v>42947</v>
      </c>
      <c r="S485" s="240" t="str">
        <f t="shared" si="13"/>
        <v>Sep</v>
      </c>
    </row>
    <row r="486" spans="1:20" x14ac:dyDescent="0.25">
      <c r="A486" s="243">
        <v>8408015000</v>
      </c>
      <c r="B486" s="240" t="str">
        <f>VLOOKUP(A486,'Energy Provider Accounts'!C:F,2,FALSE)</f>
        <v>Transfer Station</v>
      </c>
      <c r="C486" s="243" t="s">
        <v>230</v>
      </c>
      <c r="D486" s="244">
        <v>43035</v>
      </c>
      <c r="E486" s="244">
        <v>43005</v>
      </c>
      <c r="F486" s="243">
        <v>30</v>
      </c>
      <c r="G486" s="243" t="s">
        <v>256</v>
      </c>
      <c r="H486" s="243" t="s">
        <v>254</v>
      </c>
      <c r="I486" s="243">
        <v>308</v>
      </c>
      <c r="J486" s="243">
        <v>0</v>
      </c>
      <c r="K486" s="243">
        <v>0</v>
      </c>
      <c r="L486" s="243">
        <v>37.799999999999997</v>
      </c>
      <c r="M486" s="243">
        <v>27.02</v>
      </c>
      <c r="N486" s="243">
        <v>64.84</v>
      </c>
      <c r="O486">
        <v>2017</v>
      </c>
      <c r="P486" s="310">
        <f t="shared" si="12"/>
        <v>10</v>
      </c>
      <c r="Q486" s="310"/>
      <c r="R486" s="244">
        <v>43005</v>
      </c>
      <c r="S486" s="240" t="str">
        <f t="shared" si="13"/>
        <v>Oct</v>
      </c>
    </row>
    <row r="487" spans="1:20" x14ac:dyDescent="0.25">
      <c r="A487" s="243">
        <v>8408015000</v>
      </c>
      <c r="B487" s="240" t="str">
        <f>VLOOKUP(A487,'Energy Provider Accounts'!C:F,2,FALSE)</f>
        <v>Transfer Station</v>
      </c>
      <c r="C487" s="243" t="s">
        <v>230</v>
      </c>
      <c r="D487" s="244">
        <v>43069</v>
      </c>
      <c r="E487" s="244">
        <v>43039</v>
      </c>
      <c r="F487" s="243">
        <v>30</v>
      </c>
      <c r="G487" s="243" t="s">
        <v>253</v>
      </c>
      <c r="H487" s="243" t="s">
        <v>254</v>
      </c>
      <c r="I487" s="243">
        <v>632</v>
      </c>
      <c r="J487" s="243">
        <v>0</v>
      </c>
      <c r="K487" s="243">
        <v>0</v>
      </c>
      <c r="L487" s="243">
        <v>86.47</v>
      </c>
      <c r="M487" s="243">
        <v>14.27</v>
      </c>
      <c r="N487" s="243">
        <v>100.77</v>
      </c>
      <c r="O487">
        <v>2017</v>
      </c>
      <c r="P487" s="310">
        <f t="shared" si="12"/>
        <v>11</v>
      </c>
      <c r="Q487" s="310"/>
      <c r="R487" s="244">
        <v>43039</v>
      </c>
      <c r="S487" s="240" t="str">
        <f t="shared" si="13"/>
        <v>Nov</v>
      </c>
    </row>
    <row r="488" spans="1:20" x14ac:dyDescent="0.25">
      <c r="A488" s="243">
        <v>8408015000</v>
      </c>
      <c r="B488" s="240" t="str">
        <f>VLOOKUP(A488,'Energy Provider Accounts'!C:F,2,FALSE)</f>
        <v>Transfer Station</v>
      </c>
      <c r="C488" s="243" t="s">
        <v>230</v>
      </c>
      <c r="D488" s="319">
        <v>43102</v>
      </c>
      <c r="E488" s="319">
        <v>43069</v>
      </c>
      <c r="F488" s="230">
        <v>32</v>
      </c>
      <c r="G488" s="230" t="s">
        <v>263</v>
      </c>
      <c r="H488" s="230" t="s">
        <v>254</v>
      </c>
      <c r="I488" s="230">
        <v>344</v>
      </c>
      <c r="L488" s="230">
        <v>22.21</v>
      </c>
      <c r="M488" s="230">
        <v>46.92</v>
      </c>
      <c r="N488" s="230">
        <v>69.13</v>
      </c>
      <c r="O488" s="320">
        <v>2018</v>
      </c>
      <c r="P488" s="310">
        <v>12</v>
      </c>
      <c r="R488" s="319">
        <v>43069</v>
      </c>
      <c r="S488" s="240" t="str">
        <f t="shared" si="13"/>
        <v>Dec</v>
      </c>
      <c r="T488" s="230" t="s">
        <v>252</v>
      </c>
    </row>
    <row r="489" spans="1:20" x14ac:dyDescent="0.25">
      <c r="A489" s="243">
        <v>8408015000</v>
      </c>
      <c r="B489" s="240" t="str">
        <f>VLOOKUP(A489,'Energy Provider Accounts'!C:F,2,FALSE)</f>
        <v>Transfer Station</v>
      </c>
      <c r="C489" s="243" t="s">
        <v>230</v>
      </c>
      <c r="D489" s="319">
        <v>43131</v>
      </c>
      <c r="E489" s="319">
        <v>43102</v>
      </c>
      <c r="F489" s="230">
        <v>29</v>
      </c>
      <c r="G489" s="230" t="s">
        <v>263</v>
      </c>
      <c r="H489" s="230" t="s">
        <v>254</v>
      </c>
      <c r="I489" s="230">
        <v>1859</v>
      </c>
      <c r="L489" s="230">
        <v>146.37</v>
      </c>
      <c r="M489" s="230">
        <v>101.74</v>
      </c>
      <c r="N489" s="230">
        <v>248.11</v>
      </c>
      <c r="O489" s="320">
        <v>2018</v>
      </c>
      <c r="P489" s="310">
        <v>1</v>
      </c>
      <c r="R489" s="319">
        <v>43102</v>
      </c>
      <c r="S489" s="240" t="str">
        <f t="shared" si="13"/>
        <v>Jan</v>
      </c>
      <c r="T489" s="230" t="s">
        <v>252</v>
      </c>
    </row>
    <row r="490" spans="1:20" x14ac:dyDescent="0.25">
      <c r="A490" s="243">
        <v>8408015000</v>
      </c>
      <c r="B490" s="240" t="str">
        <f>VLOOKUP(A490,'Energy Provider Accounts'!C:F,2,FALSE)</f>
        <v>Transfer Station</v>
      </c>
      <c r="C490" s="243" t="s">
        <v>230</v>
      </c>
      <c r="D490" s="319">
        <v>43160</v>
      </c>
      <c r="E490" s="319">
        <v>43131</v>
      </c>
      <c r="F490" s="230">
        <v>30</v>
      </c>
      <c r="G490" s="230" t="s">
        <v>256</v>
      </c>
      <c r="H490" s="230" t="s">
        <v>254</v>
      </c>
      <c r="I490" s="230">
        <v>759</v>
      </c>
      <c r="L490" s="230">
        <v>77.92</v>
      </c>
      <c r="M490" s="230">
        <v>61.51</v>
      </c>
      <c r="N490" s="230">
        <v>139.43</v>
      </c>
      <c r="O490" s="320">
        <v>2018</v>
      </c>
      <c r="P490" s="310">
        <v>2</v>
      </c>
      <c r="R490" s="319">
        <v>43131</v>
      </c>
      <c r="S490" s="240" t="s">
        <v>82</v>
      </c>
      <c r="T490" s="230" t="s">
        <v>252</v>
      </c>
    </row>
    <row r="491" spans="1:20" x14ac:dyDescent="0.25">
      <c r="A491" s="243">
        <v>8408015000</v>
      </c>
      <c r="B491" s="240" t="str">
        <f>VLOOKUP(A491,'Energy Provider Accounts'!C:F,2,FALSE)</f>
        <v>Transfer Station</v>
      </c>
      <c r="C491" s="243" t="s">
        <v>230</v>
      </c>
      <c r="D491" s="319">
        <v>43192</v>
      </c>
      <c r="E491" s="319">
        <v>43160</v>
      </c>
      <c r="F491" s="230">
        <v>32</v>
      </c>
      <c r="G491" s="230" t="s">
        <v>256</v>
      </c>
      <c r="H491" s="230" t="s">
        <v>254</v>
      </c>
      <c r="I491" s="230">
        <v>832</v>
      </c>
      <c r="L491" s="230">
        <v>57.79</v>
      </c>
      <c r="M491" s="230">
        <v>65.86</v>
      </c>
      <c r="N491" s="230">
        <v>123.65</v>
      </c>
      <c r="O491" s="320">
        <v>2018</v>
      </c>
      <c r="P491" s="310">
        <v>3</v>
      </c>
      <c r="R491" s="319">
        <v>43160</v>
      </c>
      <c r="S491" s="240" t="str">
        <f t="shared" si="13"/>
        <v>Mar</v>
      </c>
      <c r="T491" s="230" t="s">
        <v>252</v>
      </c>
    </row>
    <row r="492" spans="1:20" x14ac:dyDescent="0.25">
      <c r="A492" s="243">
        <v>8408015000</v>
      </c>
      <c r="B492" s="240" t="str">
        <f>VLOOKUP(A492,'Energy Provider Accounts'!C:F,2,FALSE)</f>
        <v>Transfer Station</v>
      </c>
      <c r="C492" s="243" t="s">
        <v>230</v>
      </c>
      <c r="D492" s="319">
        <v>43221</v>
      </c>
      <c r="E492" s="319">
        <v>43192</v>
      </c>
      <c r="F492" s="230">
        <v>31</v>
      </c>
      <c r="G492" s="230" t="s">
        <v>256</v>
      </c>
      <c r="H492" s="230" t="s">
        <v>254</v>
      </c>
      <c r="I492" s="230">
        <v>916</v>
      </c>
      <c r="L492" s="230">
        <v>54.95</v>
      </c>
      <c r="M492" s="230">
        <v>70.38</v>
      </c>
      <c r="N492" s="230">
        <v>125.33</v>
      </c>
      <c r="O492" s="320">
        <v>2018</v>
      </c>
      <c r="P492" s="310">
        <v>4</v>
      </c>
      <c r="R492" s="319">
        <v>43192</v>
      </c>
      <c r="S492" s="240" t="str">
        <f t="shared" si="13"/>
        <v>Apr</v>
      </c>
      <c r="T492" s="230" t="s">
        <v>252</v>
      </c>
    </row>
    <row r="493" spans="1:20" x14ac:dyDescent="0.25">
      <c r="A493" s="243">
        <v>8408015000</v>
      </c>
      <c r="B493" s="240" t="str">
        <f>VLOOKUP(A493,'Energy Provider Accounts'!C:F,2,FALSE)</f>
        <v>Transfer Station</v>
      </c>
      <c r="C493" s="243" t="s">
        <v>230</v>
      </c>
      <c r="D493" s="319">
        <v>43252</v>
      </c>
      <c r="E493" s="319">
        <v>43221</v>
      </c>
      <c r="F493" s="230">
        <v>31</v>
      </c>
      <c r="G493" s="230" t="s">
        <v>263</v>
      </c>
      <c r="H493" s="230" t="s">
        <v>254</v>
      </c>
      <c r="I493" s="230">
        <v>103</v>
      </c>
      <c r="L493" s="230">
        <v>8.9600000000000009</v>
      </c>
      <c r="M493" s="230">
        <v>38.770000000000003</v>
      </c>
      <c r="N493" s="230">
        <v>47.73</v>
      </c>
      <c r="O493" s="320">
        <v>2018</v>
      </c>
      <c r="P493" s="310">
        <v>5</v>
      </c>
      <c r="R493" s="319">
        <v>43221</v>
      </c>
      <c r="S493" s="240" t="str">
        <f t="shared" si="13"/>
        <v>May</v>
      </c>
      <c r="T493" s="230" t="s">
        <v>252</v>
      </c>
    </row>
    <row r="494" spans="1:20" x14ac:dyDescent="0.25">
      <c r="A494" s="243">
        <v>8408015000</v>
      </c>
      <c r="B494" s="240" t="str">
        <f>VLOOKUP(A494,'Energy Provider Accounts'!C:F,2,FALSE)</f>
        <v>Transfer Station</v>
      </c>
      <c r="C494" s="243" t="s">
        <v>230</v>
      </c>
      <c r="D494" s="319">
        <v>43280</v>
      </c>
      <c r="E494" s="319">
        <v>43252</v>
      </c>
      <c r="F494" s="230">
        <v>29</v>
      </c>
      <c r="G494" s="230" t="s">
        <v>256</v>
      </c>
      <c r="H494" s="230" t="s">
        <v>254</v>
      </c>
      <c r="I494" s="230">
        <v>609</v>
      </c>
      <c r="L494" s="230">
        <v>46.46</v>
      </c>
      <c r="M494" s="230">
        <v>55.69</v>
      </c>
      <c r="N494" s="230">
        <v>102.15</v>
      </c>
      <c r="O494" s="320">
        <v>2018</v>
      </c>
      <c r="P494" s="310">
        <f t="shared" si="12"/>
        <v>6</v>
      </c>
      <c r="R494" s="319">
        <v>43252</v>
      </c>
      <c r="S494" s="240" t="str">
        <f t="shared" si="13"/>
        <v>Jun</v>
      </c>
      <c r="T494" s="230" t="s">
        <v>252</v>
      </c>
    </row>
    <row r="495" spans="1:20" x14ac:dyDescent="0.25">
      <c r="A495" s="243">
        <v>8408015000</v>
      </c>
      <c r="B495" s="240" t="str">
        <f>VLOOKUP(A495,'Energy Provider Accounts'!C:F,2,FALSE)</f>
        <v>Transfer Station</v>
      </c>
      <c r="C495" s="243" t="s">
        <v>230</v>
      </c>
      <c r="D495" s="319">
        <v>43313</v>
      </c>
      <c r="E495" s="319">
        <v>43280</v>
      </c>
      <c r="F495" s="230">
        <v>33</v>
      </c>
      <c r="G495" s="230" t="s">
        <v>263</v>
      </c>
      <c r="H495" s="230" t="s">
        <v>254</v>
      </c>
      <c r="I495" s="230">
        <v>334</v>
      </c>
      <c r="L495" s="230">
        <v>22.97</v>
      </c>
      <c r="M495" s="230">
        <v>79.98</v>
      </c>
      <c r="N495" s="230">
        <v>102.95</v>
      </c>
      <c r="O495" s="320">
        <v>2018</v>
      </c>
      <c r="P495" s="310">
        <v>7</v>
      </c>
      <c r="R495" s="319">
        <v>43280</v>
      </c>
      <c r="S495" s="240" t="str">
        <f t="shared" si="13"/>
        <v>Jul</v>
      </c>
      <c r="T495" s="230" t="s">
        <v>252</v>
      </c>
    </row>
    <row r="496" spans="1:20" x14ac:dyDescent="0.25">
      <c r="A496" s="243">
        <v>8408015000</v>
      </c>
      <c r="B496" s="240" t="str">
        <f>VLOOKUP(A496,'Energy Provider Accounts'!C:F,2,FALSE)</f>
        <v>Transfer Station</v>
      </c>
      <c r="C496" s="243" t="s">
        <v>230</v>
      </c>
      <c r="D496" s="319">
        <v>43341</v>
      </c>
      <c r="E496" s="319">
        <v>43313</v>
      </c>
      <c r="F496" s="230">
        <v>29</v>
      </c>
      <c r="G496" s="230" t="s">
        <v>256</v>
      </c>
      <c r="H496" s="230" t="s">
        <v>254</v>
      </c>
      <c r="I496" s="230">
        <v>145</v>
      </c>
      <c r="L496" s="230">
        <v>11.57</v>
      </c>
      <c r="M496" s="230">
        <v>38.21</v>
      </c>
      <c r="N496" s="230">
        <v>49.78</v>
      </c>
      <c r="O496" s="320">
        <v>2018</v>
      </c>
      <c r="P496" s="310">
        <f t="shared" si="12"/>
        <v>8</v>
      </c>
      <c r="R496" s="319">
        <v>43313</v>
      </c>
      <c r="S496" s="240" t="str">
        <f t="shared" si="13"/>
        <v>Aug</v>
      </c>
      <c r="T496" s="230" t="s">
        <v>252</v>
      </c>
    </row>
    <row r="497" spans="1:20" x14ac:dyDescent="0.25">
      <c r="A497" s="243">
        <v>8408015000</v>
      </c>
      <c r="B497" s="240" t="str">
        <f>VLOOKUP(A497,'Energy Provider Accounts'!C:F,2,FALSE)</f>
        <v>Transfer Station</v>
      </c>
      <c r="C497" s="243" t="s">
        <v>230</v>
      </c>
      <c r="D497" s="319">
        <v>43371</v>
      </c>
      <c r="E497" s="319">
        <v>43341</v>
      </c>
      <c r="F497" s="230">
        <v>30</v>
      </c>
      <c r="G497" s="230" t="s">
        <v>263</v>
      </c>
      <c r="H497" s="230" t="s">
        <v>254</v>
      </c>
      <c r="I497" s="230">
        <v>162</v>
      </c>
      <c r="L497" s="230">
        <v>14.68</v>
      </c>
      <c r="M497" s="230">
        <v>38.520000000000003</v>
      </c>
      <c r="N497" s="321">
        <v>53.2</v>
      </c>
      <c r="O497" s="320">
        <v>2018</v>
      </c>
      <c r="P497" s="310">
        <f t="shared" si="12"/>
        <v>9</v>
      </c>
      <c r="R497" s="319">
        <v>43341</v>
      </c>
      <c r="S497" s="240" t="str">
        <f t="shared" si="13"/>
        <v>Sep</v>
      </c>
      <c r="T497" s="230" t="s">
        <v>252</v>
      </c>
    </row>
    <row r="498" spans="1:20" x14ac:dyDescent="0.25">
      <c r="A498" s="243">
        <v>8408015000</v>
      </c>
      <c r="B498" s="240" t="str">
        <f>VLOOKUP(A498,'Energy Provider Accounts'!C:F,2,FALSE)</f>
        <v>Transfer Station</v>
      </c>
      <c r="C498" s="243" t="s">
        <v>230</v>
      </c>
      <c r="D498" s="319">
        <v>43402</v>
      </c>
      <c r="E498" s="319">
        <v>43371</v>
      </c>
      <c r="F498" s="230">
        <v>31</v>
      </c>
      <c r="G498" s="230" t="s">
        <v>256</v>
      </c>
      <c r="H498" s="230" t="s">
        <v>254</v>
      </c>
      <c r="I498" s="230">
        <v>485</v>
      </c>
      <c r="L498" s="230">
        <v>41.33</v>
      </c>
      <c r="M498" s="230">
        <v>52.38</v>
      </c>
      <c r="N498" s="230">
        <v>93.71</v>
      </c>
      <c r="O498" s="320">
        <v>2018</v>
      </c>
      <c r="P498" s="310">
        <f t="shared" si="12"/>
        <v>10</v>
      </c>
      <c r="R498" s="319">
        <v>43371</v>
      </c>
      <c r="S498" s="240" t="str">
        <f t="shared" si="13"/>
        <v>Oct</v>
      </c>
      <c r="T498" s="230" t="s">
        <v>252</v>
      </c>
    </row>
    <row r="499" spans="1:20" x14ac:dyDescent="0.25">
      <c r="A499" s="243">
        <v>8408015000</v>
      </c>
      <c r="B499" s="240" t="str">
        <f>VLOOKUP(A499,'Energy Provider Accounts'!C:F,2,FALSE)</f>
        <v>Transfer Station</v>
      </c>
      <c r="C499" s="243" t="s">
        <v>230</v>
      </c>
      <c r="D499" s="319">
        <v>43433</v>
      </c>
      <c r="E499" s="319">
        <v>43402</v>
      </c>
      <c r="F499" s="230">
        <v>31</v>
      </c>
      <c r="G499" s="230" t="s">
        <v>256</v>
      </c>
      <c r="H499" s="230" t="s">
        <v>254</v>
      </c>
      <c r="I499" s="230">
        <v>576</v>
      </c>
      <c r="L499" s="230">
        <v>34.56</v>
      </c>
      <c r="M499" s="230">
        <v>55.62</v>
      </c>
      <c r="N499" s="230">
        <v>90.18</v>
      </c>
      <c r="O499" s="320">
        <v>2018</v>
      </c>
      <c r="P499" s="310">
        <f t="shared" si="12"/>
        <v>11</v>
      </c>
      <c r="R499" s="319">
        <v>43402</v>
      </c>
      <c r="S499" s="240" t="str">
        <f t="shared" si="13"/>
        <v>Nov</v>
      </c>
      <c r="T499" s="230" t="s">
        <v>252</v>
      </c>
    </row>
    <row r="500" spans="1:20" x14ac:dyDescent="0.25">
      <c r="A500" s="243">
        <v>8408015000</v>
      </c>
      <c r="B500" s="240" t="str">
        <f>VLOOKUP(A500,'Energy Provider Accounts'!C:F,2,FALSE)</f>
        <v>Transfer Station</v>
      </c>
      <c r="C500" s="243" t="s">
        <v>230</v>
      </c>
      <c r="D500" s="319">
        <v>43467</v>
      </c>
      <c r="E500" s="319">
        <v>43433</v>
      </c>
      <c r="F500" s="230">
        <v>35</v>
      </c>
      <c r="G500" s="230" t="s">
        <v>256</v>
      </c>
      <c r="H500" s="230" t="s">
        <v>254</v>
      </c>
      <c r="I500" s="230">
        <v>1248</v>
      </c>
      <c r="L500" s="321">
        <v>58.3</v>
      </c>
      <c r="M500" s="230">
        <v>76.349999999999994</v>
      </c>
      <c r="N500" s="230">
        <v>134.65</v>
      </c>
      <c r="P500" s="310">
        <f t="shared" si="12"/>
        <v>1</v>
      </c>
      <c r="R500" s="319">
        <v>43433</v>
      </c>
      <c r="S500" s="240" t="s">
        <v>92</v>
      </c>
      <c r="T500" s="230" t="s">
        <v>252</v>
      </c>
    </row>
    <row r="501" spans="1:20" x14ac:dyDescent="0.25">
      <c r="B501" s="240" t="e">
        <f>VLOOKUP(A501,'Energy Provider Accounts'!C:F,2,FALSE)</f>
        <v>#N/A</v>
      </c>
      <c r="P501" s="310">
        <f t="shared" si="12"/>
        <v>1</v>
      </c>
      <c r="S501" s="240" t="str">
        <f t="shared" si="13"/>
        <v>Jan</v>
      </c>
    </row>
    <row r="502" spans="1:20" x14ac:dyDescent="0.25">
      <c r="B502" s="240" t="e">
        <f>VLOOKUP(A502,'Energy Provider Accounts'!C:F,2,FALSE)</f>
        <v>#N/A</v>
      </c>
      <c r="P502" s="310">
        <f t="shared" si="12"/>
        <v>1</v>
      </c>
      <c r="S502" s="240" t="str">
        <f t="shared" si="13"/>
        <v>Jan</v>
      </c>
    </row>
    <row r="503" spans="1:20" x14ac:dyDescent="0.25">
      <c r="B503" s="240" t="e">
        <f>VLOOKUP(A503,'Energy Provider Accounts'!C:F,2,FALSE)</f>
        <v>#N/A</v>
      </c>
      <c r="P503" s="310">
        <f t="shared" si="12"/>
        <v>1</v>
      </c>
      <c r="S503" s="240" t="str">
        <f t="shared" si="13"/>
        <v>Jan</v>
      </c>
    </row>
    <row r="504" spans="1:20" x14ac:dyDescent="0.25">
      <c r="B504" s="240" t="e">
        <f>VLOOKUP(A504,'Energy Provider Accounts'!C:F,2,FALSE)</f>
        <v>#N/A</v>
      </c>
      <c r="P504" s="310">
        <f t="shared" si="12"/>
        <v>1</v>
      </c>
      <c r="S504" s="240" t="str">
        <f t="shared" si="13"/>
        <v>Jan</v>
      </c>
    </row>
    <row r="505" spans="1:20" x14ac:dyDescent="0.25">
      <c r="B505" s="240" t="e">
        <f>VLOOKUP(A505,'Energy Provider Accounts'!C:F,2,FALSE)</f>
        <v>#N/A</v>
      </c>
      <c r="P505" s="310">
        <f t="shared" si="12"/>
        <v>1</v>
      </c>
      <c r="S505" s="240" t="str">
        <f t="shared" si="13"/>
        <v>Jan</v>
      </c>
    </row>
    <row r="506" spans="1:20" x14ac:dyDescent="0.25">
      <c r="B506" s="240" t="e">
        <f>VLOOKUP(A506,'Energy Provider Accounts'!C:F,2,FALSE)</f>
        <v>#N/A</v>
      </c>
      <c r="P506" s="310">
        <f t="shared" si="12"/>
        <v>1</v>
      </c>
      <c r="S506" s="240" t="str">
        <f t="shared" si="13"/>
        <v>Jan</v>
      </c>
    </row>
    <row r="507" spans="1:20" x14ac:dyDescent="0.25">
      <c r="B507" s="240" t="e">
        <f>VLOOKUP(A507,'Energy Provider Accounts'!C:F,2,FALSE)</f>
        <v>#N/A</v>
      </c>
      <c r="P507" s="310">
        <f t="shared" si="12"/>
        <v>1</v>
      </c>
      <c r="S507" s="240" t="str">
        <f t="shared" si="13"/>
        <v>Jan</v>
      </c>
    </row>
    <row r="508" spans="1:20" x14ac:dyDescent="0.25">
      <c r="B508" s="240" t="e">
        <f>VLOOKUP(A508,'Energy Provider Accounts'!C:F,2,FALSE)</f>
        <v>#N/A</v>
      </c>
      <c r="P508" s="310">
        <f t="shared" si="12"/>
        <v>1</v>
      </c>
      <c r="S508" s="240" t="str">
        <f t="shared" si="13"/>
        <v>Jan</v>
      </c>
    </row>
    <row r="509" spans="1:20" x14ac:dyDescent="0.25">
      <c r="B509" s="240" t="e">
        <f>VLOOKUP(A509,'Energy Provider Accounts'!C:F,2,FALSE)</f>
        <v>#N/A</v>
      </c>
      <c r="P509" s="310">
        <f t="shared" si="12"/>
        <v>1</v>
      </c>
      <c r="S509" s="240" t="str">
        <f t="shared" si="13"/>
        <v>Jan</v>
      </c>
    </row>
    <row r="510" spans="1:20" x14ac:dyDescent="0.25">
      <c r="B510" s="240" t="e">
        <f>VLOOKUP(A510,'Energy Provider Accounts'!C:F,2,FALSE)</f>
        <v>#N/A</v>
      </c>
      <c r="P510" s="310">
        <f t="shared" si="12"/>
        <v>1</v>
      </c>
      <c r="S510" s="240" t="str">
        <f t="shared" si="13"/>
        <v>Jan</v>
      </c>
    </row>
    <row r="511" spans="1:20" x14ac:dyDescent="0.25">
      <c r="B511" s="240" t="e">
        <f>VLOOKUP(A511,'Energy Provider Accounts'!C:F,2,FALSE)</f>
        <v>#N/A</v>
      </c>
      <c r="P511" s="310">
        <f t="shared" si="12"/>
        <v>1</v>
      </c>
      <c r="S511" s="240" t="str">
        <f t="shared" si="13"/>
        <v>Jan</v>
      </c>
    </row>
    <row r="512" spans="1:20" x14ac:dyDescent="0.25">
      <c r="B512" s="240" t="e">
        <f>VLOOKUP(A512,'Energy Provider Accounts'!C:F,2,FALSE)</f>
        <v>#N/A</v>
      </c>
      <c r="P512" s="310">
        <f t="shared" si="12"/>
        <v>1</v>
      </c>
      <c r="S512" s="240" t="str">
        <f t="shared" si="13"/>
        <v>Jan</v>
      </c>
    </row>
    <row r="513" spans="2:19" x14ac:dyDescent="0.25">
      <c r="B513" s="240" t="e">
        <f>VLOOKUP(A513,'Energy Provider Accounts'!C:F,2,FALSE)</f>
        <v>#N/A</v>
      </c>
      <c r="P513" s="310">
        <f t="shared" si="12"/>
        <v>1</v>
      </c>
      <c r="S513" s="240" t="str">
        <f t="shared" si="13"/>
        <v>Jan</v>
      </c>
    </row>
    <row r="514" spans="2:19" x14ac:dyDescent="0.25">
      <c r="B514" s="240" t="e">
        <f>VLOOKUP(A514,'Energy Provider Accounts'!C:F,2,FALSE)</f>
        <v>#N/A</v>
      </c>
      <c r="P514" s="310">
        <f t="shared" si="12"/>
        <v>1</v>
      </c>
      <c r="S514" s="240" t="str">
        <f t="shared" si="13"/>
        <v>Jan</v>
      </c>
    </row>
    <row r="515" spans="2:19" x14ac:dyDescent="0.25">
      <c r="B515" s="240" t="e">
        <f>VLOOKUP(A515,'Energy Provider Accounts'!C:F,2,FALSE)</f>
        <v>#N/A</v>
      </c>
      <c r="P515" s="310">
        <f t="shared" si="12"/>
        <v>1</v>
      </c>
      <c r="S515" s="240" t="str">
        <f t="shared" si="13"/>
        <v>Jan</v>
      </c>
    </row>
    <row r="516" spans="2:19" x14ac:dyDescent="0.25">
      <c r="B516" s="240" t="e">
        <f>VLOOKUP(A516,'Energy Provider Accounts'!C:F,2,FALSE)</f>
        <v>#N/A</v>
      </c>
      <c r="P516" s="310">
        <f t="shared" si="12"/>
        <v>1</v>
      </c>
      <c r="S516" s="240" t="str">
        <f t="shared" si="13"/>
        <v>Jan</v>
      </c>
    </row>
    <row r="517" spans="2:19" x14ac:dyDescent="0.25">
      <c r="B517" s="240" t="e">
        <f>VLOOKUP(A517,'Energy Provider Accounts'!C:F,2,FALSE)</f>
        <v>#N/A</v>
      </c>
      <c r="P517" s="310">
        <f t="shared" si="12"/>
        <v>1</v>
      </c>
      <c r="S517" s="240" t="str">
        <f t="shared" si="13"/>
        <v>Jan</v>
      </c>
    </row>
    <row r="518" spans="2:19" x14ac:dyDescent="0.25">
      <c r="B518" s="240" t="e">
        <f>VLOOKUP(A518,'Energy Provider Accounts'!C:F,2,FALSE)</f>
        <v>#N/A</v>
      </c>
      <c r="P518" s="310">
        <f t="shared" si="12"/>
        <v>1</v>
      </c>
      <c r="S518" s="240" t="str">
        <f t="shared" si="13"/>
        <v>Jan</v>
      </c>
    </row>
    <row r="519" spans="2:19" x14ac:dyDescent="0.25">
      <c r="B519" s="240" t="e">
        <f>VLOOKUP(A519,'Energy Provider Accounts'!C:F,2,FALSE)</f>
        <v>#N/A</v>
      </c>
      <c r="P519" s="310">
        <f t="shared" si="12"/>
        <v>1</v>
      </c>
      <c r="S519" s="240" t="str">
        <f t="shared" si="13"/>
        <v>Jan</v>
      </c>
    </row>
    <row r="520" spans="2:19" x14ac:dyDescent="0.25">
      <c r="B520" s="240" t="e">
        <f>VLOOKUP(A520,'Energy Provider Accounts'!C:F,2,FALSE)</f>
        <v>#N/A</v>
      </c>
      <c r="P520" s="310">
        <f t="shared" si="12"/>
        <v>1</v>
      </c>
      <c r="S520" s="240" t="str">
        <f t="shared" si="13"/>
        <v>Jan</v>
      </c>
    </row>
    <row r="521" spans="2:19" x14ac:dyDescent="0.25">
      <c r="B521" s="240" t="e">
        <f>VLOOKUP(A521,'Energy Provider Accounts'!C:F,2,FALSE)</f>
        <v>#N/A</v>
      </c>
      <c r="P521" s="310">
        <f t="shared" si="12"/>
        <v>1</v>
      </c>
      <c r="S521" s="240" t="str">
        <f t="shared" si="13"/>
        <v>Jan</v>
      </c>
    </row>
    <row r="522" spans="2:19" x14ac:dyDescent="0.25">
      <c r="B522" s="240" t="e">
        <f>VLOOKUP(A522,'Energy Provider Accounts'!C:F,2,FALSE)</f>
        <v>#N/A</v>
      </c>
      <c r="P522" s="310">
        <f t="shared" si="12"/>
        <v>1</v>
      </c>
      <c r="S522" s="240" t="str">
        <f t="shared" si="13"/>
        <v>Jan</v>
      </c>
    </row>
    <row r="523" spans="2:19" x14ac:dyDescent="0.25">
      <c r="B523" s="240" t="e">
        <f>VLOOKUP(A523,'Energy Provider Accounts'!C:F,2,FALSE)</f>
        <v>#N/A</v>
      </c>
      <c r="P523" s="310">
        <f t="shared" si="12"/>
        <v>1</v>
      </c>
      <c r="S523" s="240" t="str">
        <f t="shared" si="13"/>
        <v>Jan</v>
      </c>
    </row>
    <row r="524" spans="2:19" x14ac:dyDescent="0.25">
      <c r="B524" s="240" t="e">
        <f>VLOOKUP(A524,'Energy Provider Accounts'!C:F,2,FALSE)</f>
        <v>#N/A</v>
      </c>
      <c r="P524" s="310">
        <f t="shared" si="12"/>
        <v>1</v>
      </c>
      <c r="S524" s="240" t="str">
        <f t="shared" si="13"/>
        <v>Jan</v>
      </c>
    </row>
    <row r="525" spans="2:19" x14ac:dyDescent="0.25">
      <c r="B525" s="240" t="e">
        <f>VLOOKUP(A525,'Energy Provider Accounts'!C:F,2,FALSE)</f>
        <v>#N/A</v>
      </c>
      <c r="P525" s="310">
        <f t="shared" si="12"/>
        <v>1</v>
      </c>
      <c r="S525" s="240" t="str">
        <f t="shared" si="13"/>
        <v>Jan</v>
      </c>
    </row>
    <row r="526" spans="2:19" x14ac:dyDescent="0.25">
      <c r="B526" s="240" t="e">
        <f>VLOOKUP(A526,'Energy Provider Accounts'!C:F,2,FALSE)</f>
        <v>#N/A</v>
      </c>
      <c r="P526" s="310">
        <f t="shared" si="12"/>
        <v>1</v>
      </c>
      <c r="S526" s="240" t="str">
        <f t="shared" si="13"/>
        <v>Jan</v>
      </c>
    </row>
    <row r="527" spans="2:19" x14ac:dyDescent="0.25">
      <c r="B527" s="240" t="e">
        <f>VLOOKUP(A527,'Energy Provider Accounts'!C:F,2,FALSE)</f>
        <v>#N/A</v>
      </c>
      <c r="P527" s="310">
        <f t="shared" si="12"/>
        <v>1</v>
      </c>
      <c r="S527" s="240" t="str">
        <f t="shared" si="13"/>
        <v>Jan</v>
      </c>
    </row>
    <row r="528" spans="2:19" x14ac:dyDescent="0.25">
      <c r="B528" s="240" t="e">
        <f>VLOOKUP(A528,'Energy Provider Accounts'!C:F,2,FALSE)</f>
        <v>#N/A</v>
      </c>
      <c r="P528" s="310">
        <f t="shared" si="12"/>
        <v>1</v>
      </c>
      <c r="S528" s="240" t="str">
        <f t="shared" si="13"/>
        <v>Jan</v>
      </c>
    </row>
    <row r="529" spans="2:19" x14ac:dyDescent="0.25">
      <c r="B529" s="240" t="e">
        <f>VLOOKUP(A529,'Energy Provider Accounts'!C:F,2,FALSE)</f>
        <v>#N/A</v>
      </c>
      <c r="P529" s="310">
        <f t="shared" si="12"/>
        <v>1</v>
      </c>
      <c r="S529" s="240" t="str">
        <f t="shared" si="13"/>
        <v>Jan</v>
      </c>
    </row>
    <row r="530" spans="2:19" x14ac:dyDescent="0.25">
      <c r="B530" s="240" t="e">
        <f>VLOOKUP(A530,'Energy Provider Accounts'!C:F,2,FALSE)</f>
        <v>#N/A</v>
      </c>
      <c r="P530" s="310">
        <f t="shared" si="12"/>
        <v>1</v>
      </c>
      <c r="S530" s="240" t="str">
        <f t="shared" si="13"/>
        <v>Jan</v>
      </c>
    </row>
    <row r="531" spans="2:19" x14ac:dyDescent="0.25">
      <c r="B531" s="240" t="e">
        <f>VLOOKUP(A531,'Energy Provider Accounts'!C:F,2,FALSE)</f>
        <v>#N/A</v>
      </c>
      <c r="P531" s="310">
        <f t="shared" si="12"/>
        <v>1</v>
      </c>
      <c r="S531" s="240" t="str">
        <f t="shared" si="13"/>
        <v>Jan</v>
      </c>
    </row>
    <row r="532" spans="2:19" x14ac:dyDescent="0.25">
      <c r="B532" s="240" t="e">
        <f>VLOOKUP(A532,'Energy Provider Accounts'!C:F,2,FALSE)</f>
        <v>#N/A</v>
      </c>
      <c r="P532" s="310">
        <f t="shared" si="12"/>
        <v>1</v>
      </c>
      <c r="S532" s="240" t="str">
        <f t="shared" si="13"/>
        <v>Jan</v>
      </c>
    </row>
    <row r="533" spans="2:19" x14ac:dyDescent="0.25">
      <c r="B533" s="240" t="e">
        <f>VLOOKUP(A533,'Energy Provider Accounts'!C:F,2,FALSE)</f>
        <v>#N/A</v>
      </c>
      <c r="P533" s="310">
        <f t="shared" si="12"/>
        <v>1</v>
      </c>
      <c r="S533" s="240" t="str">
        <f t="shared" si="13"/>
        <v>Jan</v>
      </c>
    </row>
    <row r="534" spans="2:19" x14ac:dyDescent="0.25">
      <c r="B534" s="240" t="e">
        <f>VLOOKUP(A534,'Energy Provider Accounts'!C:F,2,FALSE)</f>
        <v>#N/A</v>
      </c>
      <c r="P534" s="310">
        <f t="shared" si="12"/>
        <v>1</v>
      </c>
      <c r="S534" s="240" t="str">
        <f t="shared" si="13"/>
        <v>Jan</v>
      </c>
    </row>
    <row r="535" spans="2:19" x14ac:dyDescent="0.25">
      <c r="B535" s="240" t="e">
        <f>VLOOKUP(A535,'Energy Provider Accounts'!C:F,2,FALSE)</f>
        <v>#N/A</v>
      </c>
      <c r="P535" s="310">
        <f t="shared" si="12"/>
        <v>1</v>
      </c>
      <c r="S535" s="240" t="str">
        <f t="shared" si="13"/>
        <v>Jan</v>
      </c>
    </row>
    <row r="536" spans="2:19" x14ac:dyDescent="0.25">
      <c r="B536" s="240" t="e">
        <f>VLOOKUP(A536,'Energy Provider Accounts'!C:F,2,FALSE)</f>
        <v>#N/A</v>
      </c>
      <c r="P536" s="310">
        <f t="shared" si="12"/>
        <v>1</v>
      </c>
      <c r="S536" s="240" t="str">
        <f t="shared" si="13"/>
        <v>Jan</v>
      </c>
    </row>
    <row r="537" spans="2:19" x14ac:dyDescent="0.25">
      <c r="B537" s="240" t="e">
        <f>VLOOKUP(A537,'Energy Provider Accounts'!C:F,2,FALSE)</f>
        <v>#N/A</v>
      </c>
      <c r="P537" s="310">
        <f t="shared" si="12"/>
        <v>1</v>
      </c>
      <c r="S537" s="240" t="str">
        <f t="shared" si="13"/>
        <v>Jan</v>
      </c>
    </row>
    <row r="538" spans="2:19" x14ac:dyDescent="0.25">
      <c r="B538" s="240" t="e">
        <f>VLOOKUP(A538,'Energy Provider Accounts'!C:F,2,FALSE)</f>
        <v>#N/A</v>
      </c>
      <c r="P538" s="310">
        <f t="shared" si="12"/>
        <v>1</v>
      </c>
      <c r="S538" s="240" t="str">
        <f t="shared" si="13"/>
        <v>Jan</v>
      </c>
    </row>
    <row r="539" spans="2:19" x14ac:dyDescent="0.25">
      <c r="B539" s="240" t="e">
        <f>VLOOKUP(A539,'Energy Provider Accounts'!C:F,2,FALSE)</f>
        <v>#N/A</v>
      </c>
      <c r="P539" s="310">
        <f t="shared" ref="P539:P602" si="14">MONTH(D539)</f>
        <v>1</v>
      </c>
      <c r="S539" s="240" t="str">
        <f t="shared" si="13"/>
        <v>Jan</v>
      </c>
    </row>
    <row r="540" spans="2:19" x14ac:dyDescent="0.25">
      <c r="B540" s="240" t="e">
        <f>VLOOKUP(A540,'Energy Provider Accounts'!C:F,2,FALSE)</f>
        <v>#N/A</v>
      </c>
      <c r="P540" s="310">
        <f t="shared" si="14"/>
        <v>1</v>
      </c>
      <c r="S540" s="240" t="str">
        <f t="shared" si="13"/>
        <v>Jan</v>
      </c>
    </row>
    <row r="541" spans="2:19" x14ac:dyDescent="0.25">
      <c r="B541" s="240" t="e">
        <f>VLOOKUP(A541,'Energy Provider Accounts'!C:F,2,FALSE)</f>
        <v>#N/A</v>
      </c>
      <c r="P541" s="310">
        <f t="shared" si="14"/>
        <v>1</v>
      </c>
      <c r="S541" s="240" t="str">
        <f t="shared" ref="S541:S604" si="15">CHOOSE(P541,"Jan","Feb","Mar","Apr","May","Jun","Jul","Aug","Sep","Oct","Nov","Dec")</f>
        <v>Jan</v>
      </c>
    </row>
    <row r="542" spans="2:19" x14ac:dyDescent="0.25">
      <c r="B542" s="240" t="e">
        <f>VLOOKUP(A542,'Energy Provider Accounts'!C:F,2,FALSE)</f>
        <v>#N/A</v>
      </c>
      <c r="P542" s="310">
        <f t="shared" si="14"/>
        <v>1</v>
      </c>
      <c r="S542" s="240" t="str">
        <f t="shared" si="15"/>
        <v>Jan</v>
      </c>
    </row>
    <row r="543" spans="2:19" x14ac:dyDescent="0.25">
      <c r="B543" s="240" t="e">
        <f>VLOOKUP(A543,'Energy Provider Accounts'!C:F,2,FALSE)</f>
        <v>#N/A</v>
      </c>
      <c r="P543" s="310">
        <f t="shared" si="14"/>
        <v>1</v>
      </c>
      <c r="S543" s="240" t="str">
        <f t="shared" si="15"/>
        <v>Jan</v>
      </c>
    </row>
    <row r="544" spans="2:19" x14ac:dyDescent="0.25">
      <c r="B544" s="240" t="e">
        <f>VLOOKUP(A544,'Energy Provider Accounts'!C:F,2,FALSE)</f>
        <v>#N/A</v>
      </c>
      <c r="P544" s="310">
        <f t="shared" si="14"/>
        <v>1</v>
      </c>
      <c r="S544" s="240" t="str">
        <f t="shared" si="15"/>
        <v>Jan</v>
      </c>
    </row>
    <row r="545" spans="2:19" x14ac:dyDescent="0.25">
      <c r="B545" s="240" t="e">
        <f>VLOOKUP(A545,'Energy Provider Accounts'!C:F,2,FALSE)</f>
        <v>#N/A</v>
      </c>
      <c r="P545" s="310">
        <f t="shared" si="14"/>
        <v>1</v>
      </c>
      <c r="S545" s="240" t="str">
        <f t="shared" si="15"/>
        <v>Jan</v>
      </c>
    </row>
    <row r="546" spans="2:19" x14ac:dyDescent="0.25">
      <c r="B546" s="240" t="e">
        <f>VLOOKUP(A546,'Energy Provider Accounts'!C:F,2,FALSE)</f>
        <v>#N/A</v>
      </c>
      <c r="P546" s="310">
        <f t="shared" si="14"/>
        <v>1</v>
      </c>
      <c r="S546" s="240" t="str">
        <f t="shared" si="15"/>
        <v>Jan</v>
      </c>
    </row>
    <row r="547" spans="2:19" x14ac:dyDescent="0.25">
      <c r="B547" s="240" t="e">
        <f>VLOOKUP(A547,'Energy Provider Accounts'!C:F,2,FALSE)</f>
        <v>#N/A</v>
      </c>
      <c r="P547" s="310">
        <f t="shared" si="14"/>
        <v>1</v>
      </c>
      <c r="S547" s="240" t="str">
        <f t="shared" si="15"/>
        <v>Jan</v>
      </c>
    </row>
    <row r="548" spans="2:19" x14ac:dyDescent="0.25">
      <c r="B548" s="240" t="e">
        <f>VLOOKUP(A548,'Energy Provider Accounts'!C:F,2,FALSE)</f>
        <v>#N/A</v>
      </c>
      <c r="P548" s="310">
        <f t="shared" si="14"/>
        <v>1</v>
      </c>
      <c r="S548" s="240" t="str">
        <f t="shared" si="15"/>
        <v>Jan</v>
      </c>
    </row>
    <row r="549" spans="2:19" x14ac:dyDescent="0.25">
      <c r="B549" s="240" t="e">
        <f>VLOOKUP(A549,'Energy Provider Accounts'!C:F,2,FALSE)</f>
        <v>#N/A</v>
      </c>
      <c r="P549" s="310">
        <f t="shared" si="14"/>
        <v>1</v>
      </c>
      <c r="S549" s="240" t="str">
        <f t="shared" si="15"/>
        <v>Jan</v>
      </c>
    </row>
    <row r="550" spans="2:19" x14ac:dyDescent="0.25">
      <c r="B550" s="240" t="e">
        <f>VLOOKUP(A550,'Energy Provider Accounts'!C:F,2,FALSE)</f>
        <v>#N/A</v>
      </c>
      <c r="P550" s="310">
        <f t="shared" si="14"/>
        <v>1</v>
      </c>
      <c r="S550" s="240" t="str">
        <f t="shared" si="15"/>
        <v>Jan</v>
      </c>
    </row>
    <row r="551" spans="2:19" x14ac:dyDescent="0.25">
      <c r="B551" s="240" t="e">
        <f>VLOOKUP(A551,'Energy Provider Accounts'!C:F,2,FALSE)</f>
        <v>#N/A</v>
      </c>
      <c r="P551" s="310">
        <f t="shared" si="14"/>
        <v>1</v>
      </c>
      <c r="S551" s="240" t="str">
        <f t="shared" si="15"/>
        <v>Jan</v>
      </c>
    </row>
    <row r="552" spans="2:19" x14ac:dyDescent="0.25">
      <c r="B552" s="240" t="e">
        <f>VLOOKUP(A552,'Energy Provider Accounts'!C:F,2,FALSE)</f>
        <v>#N/A</v>
      </c>
      <c r="P552" s="310">
        <f t="shared" si="14"/>
        <v>1</v>
      </c>
      <c r="S552" s="240" t="str">
        <f t="shared" si="15"/>
        <v>Jan</v>
      </c>
    </row>
    <row r="553" spans="2:19" x14ac:dyDescent="0.25">
      <c r="B553" s="240" t="e">
        <f>VLOOKUP(A553,'Energy Provider Accounts'!C:F,2,FALSE)</f>
        <v>#N/A</v>
      </c>
      <c r="P553" s="310">
        <f t="shared" si="14"/>
        <v>1</v>
      </c>
      <c r="S553" s="240" t="str">
        <f t="shared" si="15"/>
        <v>Jan</v>
      </c>
    </row>
    <row r="554" spans="2:19" x14ac:dyDescent="0.25">
      <c r="B554" s="240" t="e">
        <f>VLOOKUP(A554,'Energy Provider Accounts'!C:F,2,FALSE)</f>
        <v>#N/A</v>
      </c>
      <c r="P554" s="310">
        <f t="shared" si="14"/>
        <v>1</v>
      </c>
      <c r="S554" s="240" t="str">
        <f t="shared" si="15"/>
        <v>Jan</v>
      </c>
    </row>
    <row r="555" spans="2:19" x14ac:dyDescent="0.25">
      <c r="B555" s="240" t="e">
        <f>VLOOKUP(A555,'Energy Provider Accounts'!C:F,2,FALSE)</f>
        <v>#N/A</v>
      </c>
      <c r="P555" s="310">
        <f t="shared" si="14"/>
        <v>1</v>
      </c>
      <c r="S555" s="240" t="str">
        <f t="shared" si="15"/>
        <v>Jan</v>
      </c>
    </row>
    <row r="556" spans="2:19" x14ac:dyDescent="0.25">
      <c r="B556" s="240" t="e">
        <f>VLOOKUP(A556,'Energy Provider Accounts'!C:F,2,FALSE)</f>
        <v>#N/A</v>
      </c>
      <c r="P556" s="310">
        <f t="shared" si="14"/>
        <v>1</v>
      </c>
      <c r="S556" s="240" t="str">
        <f t="shared" si="15"/>
        <v>Jan</v>
      </c>
    </row>
    <row r="557" spans="2:19" x14ac:dyDescent="0.25">
      <c r="B557" s="240" t="e">
        <f>VLOOKUP(A557,'Energy Provider Accounts'!C:F,2,FALSE)</f>
        <v>#N/A</v>
      </c>
      <c r="P557" s="310">
        <f t="shared" si="14"/>
        <v>1</v>
      </c>
      <c r="S557" s="240" t="str">
        <f t="shared" si="15"/>
        <v>Jan</v>
      </c>
    </row>
    <row r="558" spans="2:19" x14ac:dyDescent="0.25">
      <c r="B558" s="240" t="e">
        <f>VLOOKUP(A558,'Energy Provider Accounts'!C:F,2,FALSE)</f>
        <v>#N/A</v>
      </c>
      <c r="P558" s="310">
        <f t="shared" si="14"/>
        <v>1</v>
      </c>
      <c r="S558" s="240" t="str">
        <f t="shared" si="15"/>
        <v>Jan</v>
      </c>
    </row>
    <row r="559" spans="2:19" x14ac:dyDescent="0.25">
      <c r="B559" s="240" t="e">
        <f>VLOOKUP(A559,'Energy Provider Accounts'!C:F,2,FALSE)</f>
        <v>#N/A</v>
      </c>
      <c r="P559" s="310">
        <f t="shared" si="14"/>
        <v>1</v>
      </c>
      <c r="S559" s="240" t="str">
        <f t="shared" si="15"/>
        <v>Jan</v>
      </c>
    </row>
    <row r="560" spans="2:19" x14ac:dyDescent="0.25">
      <c r="B560" s="240" t="e">
        <f>VLOOKUP(A560,'Energy Provider Accounts'!C:F,2,FALSE)</f>
        <v>#N/A</v>
      </c>
      <c r="P560" s="310">
        <f t="shared" si="14"/>
        <v>1</v>
      </c>
      <c r="S560" s="240" t="str">
        <f t="shared" si="15"/>
        <v>Jan</v>
      </c>
    </row>
    <row r="561" spans="2:19" x14ac:dyDescent="0.25">
      <c r="B561" s="240" t="e">
        <f>VLOOKUP(A561,'Energy Provider Accounts'!C:F,2,FALSE)</f>
        <v>#N/A</v>
      </c>
      <c r="P561" s="310">
        <f t="shared" si="14"/>
        <v>1</v>
      </c>
      <c r="S561" s="240" t="str">
        <f t="shared" si="15"/>
        <v>Jan</v>
      </c>
    </row>
    <row r="562" spans="2:19" x14ac:dyDescent="0.25">
      <c r="B562" s="240" t="e">
        <f>VLOOKUP(A562,'Energy Provider Accounts'!C:F,2,FALSE)</f>
        <v>#N/A</v>
      </c>
      <c r="P562" s="310">
        <f t="shared" si="14"/>
        <v>1</v>
      </c>
      <c r="S562" s="240" t="str">
        <f t="shared" si="15"/>
        <v>Jan</v>
      </c>
    </row>
    <row r="563" spans="2:19" x14ac:dyDescent="0.25">
      <c r="B563" s="240" t="e">
        <f>VLOOKUP(A563,'Energy Provider Accounts'!C:F,2,FALSE)</f>
        <v>#N/A</v>
      </c>
      <c r="P563" s="310">
        <f t="shared" si="14"/>
        <v>1</v>
      </c>
      <c r="S563" s="240" t="str">
        <f t="shared" si="15"/>
        <v>Jan</v>
      </c>
    </row>
    <row r="564" spans="2:19" x14ac:dyDescent="0.25">
      <c r="B564" s="240" t="e">
        <f>VLOOKUP(A564,'Energy Provider Accounts'!C:F,2,FALSE)</f>
        <v>#N/A</v>
      </c>
      <c r="P564" s="310">
        <f t="shared" si="14"/>
        <v>1</v>
      </c>
      <c r="S564" s="240" t="str">
        <f t="shared" si="15"/>
        <v>Jan</v>
      </c>
    </row>
    <row r="565" spans="2:19" x14ac:dyDescent="0.25">
      <c r="B565" s="240" t="e">
        <f>VLOOKUP(A565,'Energy Provider Accounts'!C:F,2,FALSE)</f>
        <v>#N/A</v>
      </c>
      <c r="P565" s="310">
        <f t="shared" si="14"/>
        <v>1</v>
      </c>
      <c r="S565" s="240" t="str">
        <f t="shared" si="15"/>
        <v>Jan</v>
      </c>
    </row>
    <row r="566" spans="2:19" x14ac:dyDescent="0.25">
      <c r="B566" s="240" t="e">
        <f>VLOOKUP(A566,'Energy Provider Accounts'!C:F,2,FALSE)</f>
        <v>#N/A</v>
      </c>
      <c r="P566" s="310">
        <f t="shared" si="14"/>
        <v>1</v>
      </c>
      <c r="S566" s="240" t="str">
        <f t="shared" si="15"/>
        <v>Jan</v>
      </c>
    </row>
    <row r="567" spans="2:19" x14ac:dyDescent="0.25">
      <c r="B567" s="240" t="e">
        <f>VLOOKUP(A567,'Energy Provider Accounts'!C:F,2,FALSE)</f>
        <v>#N/A</v>
      </c>
      <c r="P567" s="310">
        <f t="shared" si="14"/>
        <v>1</v>
      </c>
      <c r="S567" s="240" t="str">
        <f t="shared" si="15"/>
        <v>Jan</v>
      </c>
    </row>
    <row r="568" spans="2:19" x14ac:dyDescent="0.25">
      <c r="B568" s="240" t="e">
        <f>VLOOKUP(A568,'Energy Provider Accounts'!C:F,2,FALSE)</f>
        <v>#N/A</v>
      </c>
      <c r="P568" s="310">
        <f t="shared" si="14"/>
        <v>1</v>
      </c>
      <c r="S568" s="240" t="str">
        <f t="shared" si="15"/>
        <v>Jan</v>
      </c>
    </row>
    <row r="569" spans="2:19" x14ac:dyDescent="0.25">
      <c r="B569" s="240" t="e">
        <f>VLOOKUP(A569,'Energy Provider Accounts'!C:F,2,FALSE)</f>
        <v>#N/A</v>
      </c>
      <c r="P569" s="310">
        <f t="shared" si="14"/>
        <v>1</v>
      </c>
      <c r="S569" s="240" t="str">
        <f t="shared" si="15"/>
        <v>Jan</v>
      </c>
    </row>
    <row r="570" spans="2:19" x14ac:dyDescent="0.25">
      <c r="B570" s="240" t="e">
        <f>VLOOKUP(A570,'Energy Provider Accounts'!C:F,2,FALSE)</f>
        <v>#N/A</v>
      </c>
      <c r="P570" s="310">
        <f t="shared" si="14"/>
        <v>1</v>
      </c>
      <c r="S570" s="240" t="str">
        <f t="shared" si="15"/>
        <v>Jan</v>
      </c>
    </row>
    <row r="571" spans="2:19" x14ac:dyDescent="0.25">
      <c r="B571" s="240" t="e">
        <f>VLOOKUP(A571,'Energy Provider Accounts'!C:F,2,FALSE)</f>
        <v>#N/A</v>
      </c>
      <c r="P571" s="310">
        <f t="shared" si="14"/>
        <v>1</v>
      </c>
      <c r="S571" s="240" t="str">
        <f t="shared" si="15"/>
        <v>Jan</v>
      </c>
    </row>
    <row r="572" spans="2:19" x14ac:dyDescent="0.25">
      <c r="B572" s="240" t="e">
        <f>VLOOKUP(A572,'Energy Provider Accounts'!C:F,2,FALSE)</f>
        <v>#N/A</v>
      </c>
      <c r="P572" s="310">
        <f t="shared" si="14"/>
        <v>1</v>
      </c>
      <c r="S572" s="240" t="str">
        <f t="shared" si="15"/>
        <v>Jan</v>
      </c>
    </row>
    <row r="573" spans="2:19" x14ac:dyDescent="0.25">
      <c r="B573" s="240" t="e">
        <f>VLOOKUP(A573,'Energy Provider Accounts'!C:F,2,FALSE)</f>
        <v>#N/A</v>
      </c>
      <c r="P573" s="310">
        <f t="shared" si="14"/>
        <v>1</v>
      </c>
      <c r="S573" s="240" t="str">
        <f t="shared" si="15"/>
        <v>Jan</v>
      </c>
    </row>
    <row r="574" spans="2:19" x14ac:dyDescent="0.25">
      <c r="B574" s="240" t="e">
        <f>VLOOKUP(A574,'Energy Provider Accounts'!C:F,2,FALSE)</f>
        <v>#N/A</v>
      </c>
      <c r="P574" s="310">
        <f t="shared" si="14"/>
        <v>1</v>
      </c>
      <c r="S574" s="240" t="str">
        <f t="shared" si="15"/>
        <v>Jan</v>
      </c>
    </row>
    <row r="575" spans="2:19" x14ac:dyDescent="0.25">
      <c r="B575" s="240" t="e">
        <f>VLOOKUP(A575,'Energy Provider Accounts'!C:F,2,FALSE)</f>
        <v>#N/A</v>
      </c>
      <c r="P575" s="310">
        <f t="shared" si="14"/>
        <v>1</v>
      </c>
      <c r="S575" s="240" t="str">
        <f t="shared" si="15"/>
        <v>Jan</v>
      </c>
    </row>
    <row r="576" spans="2:19" x14ac:dyDescent="0.25">
      <c r="B576" s="240" t="e">
        <f>VLOOKUP(A576,'Energy Provider Accounts'!C:F,2,FALSE)</f>
        <v>#N/A</v>
      </c>
      <c r="P576" s="310">
        <f t="shared" si="14"/>
        <v>1</v>
      </c>
      <c r="S576" s="240" t="str">
        <f t="shared" si="15"/>
        <v>Jan</v>
      </c>
    </row>
    <row r="577" spans="2:19" x14ac:dyDescent="0.25">
      <c r="B577" s="240" t="e">
        <f>VLOOKUP(A577,'Energy Provider Accounts'!C:F,2,FALSE)</f>
        <v>#N/A</v>
      </c>
      <c r="P577" s="310">
        <f t="shared" si="14"/>
        <v>1</v>
      </c>
      <c r="S577" s="240" t="str">
        <f t="shared" si="15"/>
        <v>Jan</v>
      </c>
    </row>
    <row r="578" spans="2:19" x14ac:dyDescent="0.25">
      <c r="B578" s="240" t="e">
        <f>VLOOKUP(A578,'Energy Provider Accounts'!C:F,2,FALSE)</f>
        <v>#N/A</v>
      </c>
      <c r="P578" s="310">
        <f t="shared" si="14"/>
        <v>1</v>
      </c>
      <c r="S578" s="240" t="str">
        <f t="shared" si="15"/>
        <v>Jan</v>
      </c>
    </row>
    <row r="579" spans="2:19" x14ac:dyDescent="0.25">
      <c r="B579" s="240" t="e">
        <f>VLOOKUP(A579,'Energy Provider Accounts'!C:F,2,FALSE)</f>
        <v>#N/A</v>
      </c>
      <c r="P579" s="310">
        <f t="shared" si="14"/>
        <v>1</v>
      </c>
      <c r="S579" s="240" t="str">
        <f t="shared" si="15"/>
        <v>Jan</v>
      </c>
    </row>
    <row r="580" spans="2:19" x14ac:dyDescent="0.25">
      <c r="B580" s="240" t="e">
        <f>VLOOKUP(A580,'Energy Provider Accounts'!C:F,2,FALSE)</f>
        <v>#N/A</v>
      </c>
      <c r="P580" s="310">
        <f t="shared" si="14"/>
        <v>1</v>
      </c>
      <c r="S580" s="240" t="str">
        <f t="shared" si="15"/>
        <v>Jan</v>
      </c>
    </row>
    <row r="581" spans="2:19" x14ac:dyDescent="0.25">
      <c r="B581" s="240" t="e">
        <f>VLOOKUP(A581,'Energy Provider Accounts'!C:F,2,FALSE)</f>
        <v>#N/A</v>
      </c>
      <c r="P581" s="310">
        <f t="shared" si="14"/>
        <v>1</v>
      </c>
      <c r="S581" s="240" t="str">
        <f t="shared" si="15"/>
        <v>Jan</v>
      </c>
    </row>
    <row r="582" spans="2:19" x14ac:dyDescent="0.25">
      <c r="B582" s="240" t="e">
        <f>VLOOKUP(A582,'Energy Provider Accounts'!C:F,2,FALSE)</f>
        <v>#N/A</v>
      </c>
      <c r="P582" s="310">
        <f t="shared" si="14"/>
        <v>1</v>
      </c>
      <c r="S582" s="240" t="str">
        <f t="shared" si="15"/>
        <v>Jan</v>
      </c>
    </row>
    <row r="583" spans="2:19" x14ac:dyDescent="0.25">
      <c r="B583" s="240" t="e">
        <f>VLOOKUP(A583,'Energy Provider Accounts'!C:F,2,FALSE)</f>
        <v>#N/A</v>
      </c>
      <c r="P583" s="310">
        <f t="shared" si="14"/>
        <v>1</v>
      </c>
      <c r="S583" s="240" t="str">
        <f t="shared" si="15"/>
        <v>Jan</v>
      </c>
    </row>
    <row r="584" spans="2:19" x14ac:dyDescent="0.25">
      <c r="B584" s="240" t="e">
        <f>VLOOKUP(A584,'Energy Provider Accounts'!C:F,2,FALSE)</f>
        <v>#N/A</v>
      </c>
      <c r="P584" s="310">
        <f t="shared" si="14"/>
        <v>1</v>
      </c>
      <c r="S584" s="240" t="str">
        <f t="shared" si="15"/>
        <v>Jan</v>
      </c>
    </row>
    <row r="585" spans="2:19" x14ac:dyDescent="0.25">
      <c r="B585" s="240" t="e">
        <f>VLOOKUP(A585,'Energy Provider Accounts'!C:F,2,FALSE)</f>
        <v>#N/A</v>
      </c>
      <c r="P585" s="310">
        <f t="shared" si="14"/>
        <v>1</v>
      </c>
      <c r="S585" s="240" t="str">
        <f t="shared" si="15"/>
        <v>Jan</v>
      </c>
    </row>
    <row r="586" spans="2:19" x14ac:dyDescent="0.25">
      <c r="B586" s="240" t="e">
        <f>VLOOKUP(A586,'Energy Provider Accounts'!C:F,2,FALSE)</f>
        <v>#N/A</v>
      </c>
      <c r="P586" s="310">
        <f t="shared" si="14"/>
        <v>1</v>
      </c>
      <c r="S586" s="240" t="str">
        <f t="shared" si="15"/>
        <v>Jan</v>
      </c>
    </row>
    <row r="587" spans="2:19" x14ac:dyDescent="0.25">
      <c r="B587" s="240" t="e">
        <f>VLOOKUP(A587,'Energy Provider Accounts'!C:F,2,FALSE)</f>
        <v>#N/A</v>
      </c>
      <c r="P587" s="310">
        <f t="shared" si="14"/>
        <v>1</v>
      </c>
      <c r="S587" s="240" t="str">
        <f t="shared" si="15"/>
        <v>Jan</v>
      </c>
    </row>
    <row r="588" spans="2:19" x14ac:dyDescent="0.25">
      <c r="B588" s="240" t="e">
        <f>VLOOKUP(A588,'Energy Provider Accounts'!C:F,2,FALSE)</f>
        <v>#N/A</v>
      </c>
      <c r="P588" s="310">
        <f t="shared" si="14"/>
        <v>1</v>
      </c>
      <c r="S588" s="240" t="str">
        <f t="shared" si="15"/>
        <v>Jan</v>
      </c>
    </row>
    <row r="589" spans="2:19" x14ac:dyDescent="0.25">
      <c r="B589" s="240" t="e">
        <f>VLOOKUP(A589,'Energy Provider Accounts'!C:F,2,FALSE)</f>
        <v>#N/A</v>
      </c>
      <c r="P589" s="310">
        <f t="shared" si="14"/>
        <v>1</v>
      </c>
      <c r="S589" s="240" t="str">
        <f t="shared" si="15"/>
        <v>Jan</v>
      </c>
    </row>
    <row r="590" spans="2:19" x14ac:dyDescent="0.25">
      <c r="B590" s="240" t="e">
        <f>VLOOKUP(A590,'Energy Provider Accounts'!C:F,2,FALSE)</f>
        <v>#N/A</v>
      </c>
      <c r="P590" s="310">
        <f t="shared" si="14"/>
        <v>1</v>
      </c>
      <c r="S590" s="240" t="str">
        <f t="shared" si="15"/>
        <v>Jan</v>
      </c>
    </row>
    <row r="591" spans="2:19" x14ac:dyDescent="0.25">
      <c r="B591" s="240" t="e">
        <f>VLOOKUP(A591,'Energy Provider Accounts'!C:F,2,FALSE)</f>
        <v>#N/A</v>
      </c>
      <c r="P591" s="310">
        <f t="shared" si="14"/>
        <v>1</v>
      </c>
      <c r="S591" s="240" t="str">
        <f t="shared" si="15"/>
        <v>Jan</v>
      </c>
    </row>
    <row r="592" spans="2:19" x14ac:dyDescent="0.25">
      <c r="B592" s="240" t="e">
        <f>VLOOKUP(A592,'Energy Provider Accounts'!C:F,2,FALSE)</f>
        <v>#N/A</v>
      </c>
      <c r="P592" s="310">
        <f t="shared" si="14"/>
        <v>1</v>
      </c>
      <c r="S592" s="240" t="str">
        <f t="shared" si="15"/>
        <v>Jan</v>
      </c>
    </row>
    <row r="593" spans="2:19" x14ac:dyDescent="0.25">
      <c r="B593" s="240" t="e">
        <f>VLOOKUP(A593,'Energy Provider Accounts'!C:F,2,FALSE)</f>
        <v>#N/A</v>
      </c>
      <c r="P593" s="310">
        <f t="shared" si="14"/>
        <v>1</v>
      </c>
      <c r="S593" s="240" t="str">
        <f t="shared" si="15"/>
        <v>Jan</v>
      </c>
    </row>
    <row r="594" spans="2:19" x14ac:dyDescent="0.25">
      <c r="B594" s="240" t="e">
        <f>VLOOKUP(A594,'Energy Provider Accounts'!C:F,2,FALSE)</f>
        <v>#N/A</v>
      </c>
      <c r="P594" s="310">
        <f t="shared" si="14"/>
        <v>1</v>
      </c>
      <c r="S594" s="240" t="str">
        <f t="shared" si="15"/>
        <v>Jan</v>
      </c>
    </row>
    <row r="595" spans="2:19" x14ac:dyDescent="0.25">
      <c r="B595" s="240" t="e">
        <f>VLOOKUP(A595,'Energy Provider Accounts'!C:F,2,FALSE)</f>
        <v>#N/A</v>
      </c>
      <c r="P595" s="310">
        <f t="shared" si="14"/>
        <v>1</v>
      </c>
      <c r="S595" s="240" t="str">
        <f t="shared" si="15"/>
        <v>Jan</v>
      </c>
    </row>
    <row r="596" spans="2:19" x14ac:dyDescent="0.25">
      <c r="B596" s="240" t="e">
        <f>VLOOKUP(A596,'Energy Provider Accounts'!C:F,2,FALSE)</f>
        <v>#N/A</v>
      </c>
      <c r="P596" s="310">
        <f t="shared" si="14"/>
        <v>1</v>
      </c>
      <c r="S596" s="240" t="str">
        <f t="shared" si="15"/>
        <v>Jan</v>
      </c>
    </row>
    <row r="597" spans="2:19" x14ac:dyDescent="0.25">
      <c r="B597" s="240" t="e">
        <f>VLOOKUP(A597,'Energy Provider Accounts'!C:F,2,FALSE)</f>
        <v>#N/A</v>
      </c>
      <c r="P597" s="310">
        <f t="shared" si="14"/>
        <v>1</v>
      </c>
      <c r="S597" s="240" t="str">
        <f t="shared" si="15"/>
        <v>Jan</v>
      </c>
    </row>
    <row r="598" spans="2:19" x14ac:dyDescent="0.25">
      <c r="B598" s="240" t="e">
        <f>VLOOKUP(A598,'Energy Provider Accounts'!C:F,2,FALSE)</f>
        <v>#N/A</v>
      </c>
      <c r="P598" s="310">
        <f t="shared" si="14"/>
        <v>1</v>
      </c>
      <c r="S598" s="240" t="str">
        <f t="shared" si="15"/>
        <v>Jan</v>
      </c>
    </row>
    <row r="599" spans="2:19" x14ac:dyDescent="0.25">
      <c r="B599" s="240" t="e">
        <f>VLOOKUP(A599,'Energy Provider Accounts'!C:F,2,FALSE)</f>
        <v>#N/A</v>
      </c>
      <c r="P599" s="310">
        <f t="shared" si="14"/>
        <v>1</v>
      </c>
      <c r="S599" s="240" t="str">
        <f t="shared" si="15"/>
        <v>Jan</v>
      </c>
    </row>
    <row r="600" spans="2:19" x14ac:dyDescent="0.25">
      <c r="B600" s="240" t="e">
        <f>VLOOKUP(A600,'Energy Provider Accounts'!C:F,2,FALSE)</f>
        <v>#N/A</v>
      </c>
      <c r="P600" s="310">
        <f t="shared" si="14"/>
        <v>1</v>
      </c>
      <c r="S600" s="240" t="str">
        <f t="shared" si="15"/>
        <v>Jan</v>
      </c>
    </row>
    <row r="601" spans="2:19" x14ac:dyDescent="0.25">
      <c r="B601" s="240" t="e">
        <f>VLOOKUP(A601,'Energy Provider Accounts'!C:F,2,FALSE)</f>
        <v>#N/A</v>
      </c>
      <c r="P601" s="310">
        <f t="shared" si="14"/>
        <v>1</v>
      </c>
      <c r="S601" s="240" t="str">
        <f t="shared" si="15"/>
        <v>Jan</v>
      </c>
    </row>
    <row r="602" spans="2:19" x14ac:dyDescent="0.25">
      <c r="B602" s="240" t="e">
        <f>VLOOKUP(A602,'Energy Provider Accounts'!C:F,2,FALSE)</f>
        <v>#N/A</v>
      </c>
      <c r="P602" s="310">
        <f t="shared" si="14"/>
        <v>1</v>
      </c>
      <c r="S602" s="240" t="str">
        <f t="shared" si="15"/>
        <v>Jan</v>
      </c>
    </row>
    <row r="603" spans="2:19" x14ac:dyDescent="0.25">
      <c r="B603" s="240" t="e">
        <f>VLOOKUP(A603,'Energy Provider Accounts'!C:F,2,FALSE)</f>
        <v>#N/A</v>
      </c>
      <c r="P603" s="310">
        <f t="shared" ref="P603:P666" si="16">MONTH(D603)</f>
        <v>1</v>
      </c>
      <c r="S603" s="240" t="str">
        <f t="shared" si="15"/>
        <v>Jan</v>
      </c>
    </row>
    <row r="604" spans="2:19" x14ac:dyDescent="0.25">
      <c r="B604" s="240" t="e">
        <f>VLOOKUP(A604,'Energy Provider Accounts'!C:F,2,FALSE)</f>
        <v>#N/A</v>
      </c>
      <c r="P604" s="310">
        <f t="shared" si="16"/>
        <v>1</v>
      </c>
      <c r="S604" s="240" t="str">
        <f t="shared" si="15"/>
        <v>Jan</v>
      </c>
    </row>
    <row r="605" spans="2:19" x14ac:dyDescent="0.25">
      <c r="B605" s="240" t="e">
        <f>VLOOKUP(A605,'Energy Provider Accounts'!C:F,2,FALSE)</f>
        <v>#N/A</v>
      </c>
      <c r="P605" s="310">
        <f t="shared" si="16"/>
        <v>1</v>
      </c>
      <c r="S605" s="240" t="str">
        <f t="shared" ref="S605:S668" si="17">CHOOSE(P605,"Jan","Feb","Mar","Apr","May","Jun","Jul","Aug","Sep","Oct","Nov","Dec")</f>
        <v>Jan</v>
      </c>
    </row>
    <row r="606" spans="2:19" x14ac:dyDescent="0.25">
      <c r="B606" s="240" t="e">
        <f>VLOOKUP(A606,'Energy Provider Accounts'!C:F,2,FALSE)</f>
        <v>#N/A</v>
      </c>
      <c r="P606" s="310">
        <f t="shared" si="16"/>
        <v>1</v>
      </c>
      <c r="S606" s="240" t="str">
        <f t="shared" si="17"/>
        <v>Jan</v>
      </c>
    </row>
    <row r="607" spans="2:19" x14ac:dyDescent="0.25">
      <c r="B607" s="240" t="e">
        <f>VLOOKUP(A607,'Energy Provider Accounts'!C:F,2,FALSE)</f>
        <v>#N/A</v>
      </c>
      <c r="P607" s="310">
        <f t="shared" si="16"/>
        <v>1</v>
      </c>
      <c r="S607" s="240" t="str">
        <f t="shared" si="17"/>
        <v>Jan</v>
      </c>
    </row>
    <row r="608" spans="2:19" x14ac:dyDescent="0.25">
      <c r="B608" s="240" t="e">
        <f>VLOOKUP(A608,'Energy Provider Accounts'!C:F,2,FALSE)</f>
        <v>#N/A</v>
      </c>
      <c r="P608" s="310">
        <f t="shared" si="16"/>
        <v>1</v>
      </c>
      <c r="S608" s="240" t="str">
        <f t="shared" si="17"/>
        <v>Jan</v>
      </c>
    </row>
    <row r="609" spans="2:19" x14ac:dyDescent="0.25">
      <c r="B609" s="240" t="e">
        <f>VLOOKUP(A609,'Energy Provider Accounts'!C:F,2,FALSE)</f>
        <v>#N/A</v>
      </c>
      <c r="P609" s="310">
        <f t="shared" si="16"/>
        <v>1</v>
      </c>
      <c r="S609" s="240" t="str">
        <f t="shared" si="17"/>
        <v>Jan</v>
      </c>
    </row>
    <row r="610" spans="2:19" x14ac:dyDescent="0.25">
      <c r="B610" s="240" t="e">
        <f>VLOOKUP(A610,'Energy Provider Accounts'!C:F,2,FALSE)</f>
        <v>#N/A</v>
      </c>
      <c r="P610" s="310">
        <f t="shared" si="16"/>
        <v>1</v>
      </c>
      <c r="S610" s="240" t="str">
        <f t="shared" si="17"/>
        <v>Jan</v>
      </c>
    </row>
    <row r="611" spans="2:19" x14ac:dyDescent="0.25">
      <c r="B611" s="240" t="e">
        <f>VLOOKUP(A611,'Energy Provider Accounts'!C:F,2,FALSE)</f>
        <v>#N/A</v>
      </c>
      <c r="P611" s="310">
        <f t="shared" si="16"/>
        <v>1</v>
      </c>
      <c r="S611" s="240" t="str">
        <f t="shared" si="17"/>
        <v>Jan</v>
      </c>
    </row>
    <row r="612" spans="2:19" x14ac:dyDescent="0.25">
      <c r="B612" s="240" t="e">
        <f>VLOOKUP(A612,'Energy Provider Accounts'!C:F,2,FALSE)</f>
        <v>#N/A</v>
      </c>
      <c r="P612" s="310">
        <f t="shared" si="16"/>
        <v>1</v>
      </c>
      <c r="S612" s="240" t="str">
        <f t="shared" si="17"/>
        <v>Jan</v>
      </c>
    </row>
    <row r="613" spans="2:19" x14ac:dyDescent="0.25">
      <c r="B613" s="240" t="e">
        <f>VLOOKUP(A613,'Energy Provider Accounts'!C:F,2,FALSE)</f>
        <v>#N/A</v>
      </c>
      <c r="P613" s="310">
        <f t="shared" si="16"/>
        <v>1</v>
      </c>
      <c r="S613" s="240" t="str">
        <f t="shared" si="17"/>
        <v>Jan</v>
      </c>
    </row>
    <row r="614" spans="2:19" x14ac:dyDescent="0.25">
      <c r="B614" s="240" t="e">
        <f>VLOOKUP(A614,'Energy Provider Accounts'!C:F,2,FALSE)</f>
        <v>#N/A</v>
      </c>
      <c r="P614" s="310">
        <f t="shared" si="16"/>
        <v>1</v>
      </c>
      <c r="S614" s="240" t="str">
        <f t="shared" si="17"/>
        <v>Jan</v>
      </c>
    </row>
    <row r="615" spans="2:19" x14ac:dyDescent="0.25">
      <c r="B615" s="240" t="e">
        <f>VLOOKUP(A615,'Energy Provider Accounts'!C:F,2,FALSE)</f>
        <v>#N/A</v>
      </c>
      <c r="P615" s="310">
        <f t="shared" si="16"/>
        <v>1</v>
      </c>
      <c r="S615" s="240" t="str">
        <f t="shared" si="17"/>
        <v>Jan</v>
      </c>
    </row>
    <row r="616" spans="2:19" x14ac:dyDescent="0.25">
      <c r="B616" s="240" t="e">
        <f>VLOOKUP(A616,'Energy Provider Accounts'!C:F,2,FALSE)</f>
        <v>#N/A</v>
      </c>
      <c r="P616" s="310">
        <f t="shared" si="16"/>
        <v>1</v>
      </c>
      <c r="S616" s="240" t="str">
        <f t="shared" si="17"/>
        <v>Jan</v>
      </c>
    </row>
    <row r="617" spans="2:19" x14ac:dyDescent="0.25">
      <c r="B617" s="240" t="e">
        <f>VLOOKUP(A617,'Energy Provider Accounts'!C:F,2,FALSE)</f>
        <v>#N/A</v>
      </c>
      <c r="P617" s="310">
        <f t="shared" si="16"/>
        <v>1</v>
      </c>
      <c r="S617" s="240" t="str">
        <f t="shared" si="17"/>
        <v>Jan</v>
      </c>
    </row>
    <row r="618" spans="2:19" x14ac:dyDescent="0.25">
      <c r="B618" s="240" t="e">
        <f>VLOOKUP(A618,'Energy Provider Accounts'!C:F,2,FALSE)</f>
        <v>#N/A</v>
      </c>
      <c r="P618" s="310">
        <f t="shared" si="16"/>
        <v>1</v>
      </c>
      <c r="S618" s="240" t="str">
        <f t="shared" si="17"/>
        <v>Jan</v>
      </c>
    </row>
    <row r="619" spans="2:19" x14ac:dyDescent="0.25">
      <c r="B619" s="240" t="e">
        <f>VLOOKUP(A619,'Energy Provider Accounts'!C:F,2,FALSE)</f>
        <v>#N/A</v>
      </c>
      <c r="P619" s="310">
        <f t="shared" si="16"/>
        <v>1</v>
      </c>
      <c r="S619" s="240" t="str">
        <f t="shared" si="17"/>
        <v>Jan</v>
      </c>
    </row>
    <row r="620" spans="2:19" x14ac:dyDescent="0.25">
      <c r="B620" s="240" t="e">
        <f>VLOOKUP(A620,'Energy Provider Accounts'!C:F,2,FALSE)</f>
        <v>#N/A</v>
      </c>
      <c r="P620" s="310">
        <f t="shared" si="16"/>
        <v>1</v>
      </c>
      <c r="S620" s="240" t="str">
        <f t="shared" si="17"/>
        <v>Jan</v>
      </c>
    </row>
    <row r="621" spans="2:19" x14ac:dyDescent="0.25">
      <c r="B621" s="240" t="e">
        <f>VLOOKUP(A621,'Energy Provider Accounts'!C:F,2,FALSE)</f>
        <v>#N/A</v>
      </c>
      <c r="P621" s="310">
        <f t="shared" si="16"/>
        <v>1</v>
      </c>
      <c r="S621" s="240" t="str">
        <f t="shared" si="17"/>
        <v>Jan</v>
      </c>
    </row>
    <row r="622" spans="2:19" x14ac:dyDescent="0.25">
      <c r="B622" s="240" t="e">
        <f>VLOOKUP(A622,'Energy Provider Accounts'!C:F,2,FALSE)</f>
        <v>#N/A</v>
      </c>
      <c r="P622" s="310">
        <f t="shared" si="16"/>
        <v>1</v>
      </c>
      <c r="S622" s="240" t="str">
        <f t="shared" si="17"/>
        <v>Jan</v>
      </c>
    </row>
    <row r="623" spans="2:19" x14ac:dyDescent="0.25">
      <c r="B623" s="240" t="e">
        <f>VLOOKUP(A623,'Energy Provider Accounts'!C:F,2,FALSE)</f>
        <v>#N/A</v>
      </c>
      <c r="P623" s="310">
        <f t="shared" si="16"/>
        <v>1</v>
      </c>
      <c r="S623" s="240" t="str">
        <f t="shared" si="17"/>
        <v>Jan</v>
      </c>
    </row>
    <row r="624" spans="2:19" x14ac:dyDescent="0.25">
      <c r="B624" s="240" t="e">
        <f>VLOOKUP(A624,'Energy Provider Accounts'!C:F,2,FALSE)</f>
        <v>#N/A</v>
      </c>
      <c r="P624" s="310">
        <f t="shared" si="16"/>
        <v>1</v>
      </c>
      <c r="S624" s="240" t="str">
        <f t="shared" si="17"/>
        <v>Jan</v>
      </c>
    </row>
    <row r="625" spans="2:19" x14ac:dyDescent="0.25">
      <c r="B625" s="240" t="e">
        <f>VLOOKUP(A625,'Energy Provider Accounts'!C:F,2,FALSE)</f>
        <v>#N/A</v>
      </c>
      <c r="P625" s="310">
        <f t="shared" si="16"/>
        <v>1</v>
      </c>
      <c r="S625" s="240" t="str">
        <f t="shared" si="17"/>
        <v>Jan</v>
      </c>
    </row>
    <row r="626" spans="2:19" x14ac:dyDescent="0.25">
      <c r="B626" s="240" t="e">
        <f>VLOOKUP(A626,'Energy Provider Accounts'!C:F,2,FALSE)</f>
        <v>#N/A</v>
      </c>
      <c r="P626" s="310">
        <f t="shared" si="16"/>
        <v>1</v>
      </c>
      <c r="S626" s="240" t="str">
        <f t="shared" si="17"/>
        <v>Jan</v>
      </c>
    </row>
    <row r="627" spans="2:19" x14ac:dyDescent="0.25">
      <c r="B627" s="240" t="e">
        <f>VLOOKUP(A627,'Energy Provider Accounts'!C:F,2,FALSE)</f>
        <v>#N/A</v>
      </c>
      <c r="P627" s="310">
        <f t="shared" si="16"/>
        <v>1</v>
      </c>
      <c r="S627" s="240" t="str">
        <f t="shared" si="17"/>
        <v>Jan</v>
      </c>
    </row>
    <row r="628" spans="2:19" x14ac:dyDescent="0.25">
      <c r="B628" s="240" t="e">
        <f>VLOOKUP(A628,'Energy Provider Accounts'!C:F,2,FALSE)</f>
        <v>#N/A</v>
      </c>
      <c r="P628" s="310">
        <f t="shared" si="16"/>
        <v>1</v>
      </c>
      <c r="S628" s="240" t="str">
        <f t="shared" si="17"/>
        <v>Jan</v>
      </c>
    </row>
    <row r="629" spans="2:19" x14ac:dyDescent="0.25">
      <c r="B629" s="240" t="e">
        <f>VLOOKUP(A629,'Energy Provider Accounts'!C:F,2,FALSE)</f>
        <v>#N/A</v>
      </c>
      <c r="P629" s="310">
        <f t="shared" si="16"/>
        <v>1</v>
      </c>
      <c r="S629" s="240" t="str">
        <f t="shared" si="17"/>
        <v>Jan</v>
      </c>
    </row>
    <row r="630" spans="2:19" x14ac:dyDescent="0.25">
      <c r="B630" s="240" t="e">
        <f>VLOOKUP(A630,'Energy Provider Accounts'!C:F,2,FALSE)</f>
        <v>#N/A</v>
      </c>
      <c r="P630" s="310">
        <f t="shared" si="16"/>
        <v>1</v>
      </c>
      <c r="S630" s="240" t="str">
        <f t="shared" si="17"/>
        <v>Jan</v>
      </c>
    </row>
    <row r="631" spans="2:19" x14ac:dyDescent="0.25">
      <c r="B631" s="240" t="e">
        <f>VLOOKUP(A631,'Energy Provider Accounts'!C:F,2,FALSE)</f>
        <v>#N/A</v>
      </c>
      <c r="P631" s="310">
        <f t="shared" si="16"/>
        <v>1</v>
      </c>
      <c r="S631" s="240" t="str">
        <f t="shared" si="17"/>
        <v>Jan</v>
      </c>
    </row>
    <row r="632" spans="2:19" x14ac:dyDescent="0.25">
      <c r="B632" s="240" t="e">
        <f>VLOOKUP(A632,'Energy Provider Accounts'!C:F,2,FALSE)</f>
        <v>#N/A</v>
      </c>
      <c r="P632" s="310">
        <f t="shared" si="16"/>
        <v>1</v>
      </c>
      <c r="S632" s="240" t="str">
        <f t="shared" si="17"/>
        <v>Jan</v>
      </c>
    </row>
    <row r="633" spans="2:19" x14ac:dyDescent="0.25">
      <c r="B633" s="240" t="e">
        <f>VLOOKUP(A633,'Energy Provider Accounts'!C:F,2,FALSE)</f>
        <v>#N/A</v>
      </c>
      <c r="P633" s="310">
        <f t="shared" si="16"/>
        <v>1</v>
      </c>
      <c r="S633" s="240" t="str">
        <f t="shared" si="17"/>
        <v>Jan</v>
      </c>
    </row>
    <row r="634" spans="2:19" x14ac:dyDescent="0.25">
      <c r="B634" s="240" t="e">
        <f>VLOOKUP(A634,'Energy Provider Accounts'!C:F,2,FALSE)</f>
        <v>#N/A</v>
      </c>
      <c r="P634" s="310">
        <f t="shared" si="16"/>
        <v>1</v>
      </c>
      <c r="S634" s="240" t="str">
        <f t="shared" si="17"/>
        <v>Jan</v>
      </c>
    </row>
    <row r="635" spans="2:19" x14ac:dyDescent="0.25">
      <c r="B635" s="240" t="e">
        <f>VLOOKUP(A635,'Energy Provider Accounts'!C:F,2,FALSE)</f>
        <v>#N/A</v>
      </c>
      <c r="P635" s="310">
        <f t="shared" si="16"/>
        <v>1</v>
      </c>
      <c r="S635" s="240" t="str">
        <f t="shared" si="17"/>
        <v>Jan</v>
      </c>
    </row>
    <row r="636" spans="2:19" x14ac:dyDescent="0.25">
      <c r="B636" s="240" t="e">
        <f>VLOOKUP(A636,'Energy Provider Accounts'!C:F,2,FALSE)</f>
        <v>#N/A</v>
      </c>
      <c r="P636" s="310">
        <f t="shared" si="16"/>
        <v>1</v>
      </c>
      <c r="S636" s="240" t="str">
        <f t="shared" si="17"/>
        <v>Jan</v>
      </c>
    </row>
    <row r="637" spans="2:19" x14ac:dyDescent="0.25">
      <c r="B637" s="240" t="e">
        <f>VLOOKUP(A637,'Energy Provider Accounts'!C:F,2,FALSE)</f>
        <v>#N/A</v>
      </c>
      <c r="P637" s="310">
        <f t="shared" si="16"/>
        <v>1</v>
      </c>
      <c r="S637" s="240" t="str">
        <f t="shared" si="17"/>
        <v>Jan</v>
      </c>
    </row>
    <row r="638" spans="2:19" x14ac:dyDescent="0.25">
      <c r="B638" s="240" t="e">
        <f>VLOOKUP(A638,'Energy Provider Accounts'!C:F,2,FALSE)</f>
        <v>#N/A</v>
      </c>
      <c r="P638" s="310">
        <f t="shared" si="16"/>
        <v>1</v>
      </c>
      <c r="S638" s="240" t="str">
        <f t="shared" si="17"/>
        <v>Jan</v>
      </c>
    </row>
    <row r="639" spans="2:19" x14ac:dyDescent="0.25">
      <c r="B639" s="240" t="e">
        <f>VLOOKUP(A639,'Energy Provider Accounts'!C:F,2,FALSE)</f>
        <v>#N/A</v>
      </c>
      <c r="P639" s="310">
        <f t="shared" si="16"/>
        <v>1</v>
      </c>
      <c r="S639" s="240" t="str">
        <f t="shared" si="17"/>
        <v>Jan</v>
      </c>
    </row>
    <row r="640" spans="2:19" x14ac:dyDescent="0.25">
      <c r="B640" s="240" t="e">
        <f>VLOOKUP(A640,'Energy Provider Accounts'!C:F,2,FALSE)</f>
        <v>#N/A</v>
      </c>
      <c r="P640" s="310">
        <f t="shared" si="16"/>
        <v>1</v>
      </c>
      <c r="S640" s="240" t="str">
        <f t="shared" si="17"/>
        <v>Jan</v>
      </c>
    </row>
    <row r="641" spans="2:19" x14ac:dyDescent="0.25">
      <c r="B641" s="240" t="e">
        <f>VLOOKUP(A641,'Energy Provider Accounts'!C:F,2,FALSE)</f>
        <v>#N/A</v>
      </c>
      <c r="P641" s="310">
        <f t="shared" si="16"/>
        <v>1</v>
      </c>
      <c r="S641" s="240" t="str">
        <f t="shared" si="17"/>
        <v>Jan</v>
      </c>
    </row>
    <row r="642" spans="2:19" x14ac:dyDescent="0.25">
      <c r="B642" s="240" t="e">
        <f>VLOOKUP(A642,'Energy Provider Accounts'!C:F,2,FALSE)</f>
        <v>#N/A</v>
      </c>
      <c r="P642" s="310">
        <f t="shared" si="16"/>
        <v>1</v>
      </c>
      <c r="S642" s="240" t="str">
        <f t="shared" si="17"/>
        <v>Jan</v>
      </c>
    </row>
    <row r="643" spans="2:19" x14ac:dyDescent="0.25">
      <c r="B643" s="240" t="e">
        <f>VLOOKUP(A643,'Energy Provider Accounts'!C:F,2,FALSE)</f>
        <v>#N/A</v>
      </c>
      <c r="P643" s="310">
        <f t="shared" si="16"/>
        <v>1</v>
      </c>
      <c r="S643" s="240" t="str">
        <f t="shared" si="17"/>
        <v>Jan</v>
      </c>
    </row>
    <row r="644" spans="2:19" x14ac:dyDescent="0.25">
      <c r="B644" s="240" t="e">
        <f>VLOOKUP(A644,'Energy Provider Accounts'!C:F,2,FALSE)</f>
        <v>#N/A</v>
      </c>
      <c r="P644" s="310">
        <f t="shared" si="16"/>
        <v>1</v>
      </c>
      <c r="S644" s="240" t="str">
        <f t="shared" si="17"/>
        <v>Jan</v>
      </c>
    </row>
    <row r="645" spans="2:19" x14ac:dyDescent="0.25">
      <c r="B645" s="240" t="e">
        <f>VLOOKUP(A645,'Energy Provider Accounts'!C:F,2,FALSE)</f>
        <v>#N/A</v>
      </c>
      <c r="P645" s="310">
        <f t="shared" si="16"/>
        <v>1</v>
      </c>
      <c r="S645" s="240" t="str">
        <f t="shared" si="17"/>
        <v>Jan</v>
      </c>
    </row>
    <row r="646" spans="2:19" x14ac:dyDescent="0.25">
      <c r="B646" s="240" t="e">
        <f>VLOOKUP(A646,'Energy Provider Accounts'!C:F,2,FALSE)</f>
        <v>#N/A</v>
      </c>
      <c r="P646" s="310">
        <f t="shared" si="16"/>
        <v>1</v>
      </c>
      <c r="S646" s="240" t="str">
        <f t="shared" si="17"/>
        <v>Jan</v>
      </c>
    </row>
    <row r="647" spans="2:19" x14ac:dyDescent="0.25">
      <c r="B647" s="240" t="e">
        <f>VLOOKUP(A647,'Energy Provider Accounts'!C:F,2,FALSE)</f>
        <v>#N/A</v>
      </c>
      <c r="P647" s="310">
        <f t="shared" si="16"/>
        <v>1</v>
      </c>
      <c r="S647" s="240" t="str">
        <f t="shared" si="17"/>
        <v>Jan</v>
      </c>
    </row>
    <row r="648" spans="2:19" x14ac:dyDescent="0.25">
      <c r="B648" s="240" t="e">
        <f>VLOOKUP(A648,'Energy Provider Accounts'!C:F,2,FALSE)</f>
        <v>#N/A</v>
      </c>
      <c r="P648" s="310">
        <f t="shared" si="16"/>
        <v>1</v>
      </c>
      <c r="S648" s="240" t="str">
        <f t="shared" si="17"/>
        <v>Jan</v>
      </c>
    </row>
    <row r="649" spans="2:19" x14ac:dyDescent="0.25">
      <c r="B649" s="240" t="e">
        <f>VLOOKUP(A649,'Energy Provider Accounts'!C:F,2,FALSE)</f>
        <v>#N/A</v>
      </c>
      <c r="P649" s="310">
        <f t="shared" si="16"/>
        <v>1</v>
      </c>
      <c r="S649" s="240" t="str">
        <f t="shared" si="17"/>
        <v>Jan</v>
      </c>
    </row>
    <row r="650" spans="2:19" x14ac:dyDescent="0.25">
      <c r="B650" s="240" t="e">
        <f>VLOOKUP(A650,'Energy Provider Accounts'!C:F,2,FALSE)</f>
        <v>#N/A</v>
      </c>
      <c r="P650" s="310">
        <f t="shared" si="16"/>
        <v>1</v>
      </c>
      <c r="S650" s="240" t="str">
        <f t="shared" si="17"/>
        <v>Jan</v>
      </c>
    </row>
    <row r="651" spans="2:19" x14ac:dyDescent="0.25">
      <c r="B651" s="240" t="e">
        <f>VLOOKUP(A651,'Energy Provider Accounts'!C:F,2,FALSE)</f>
        <v>#N/A</v>
      </c>
      <c r="P651" s="310">
        <f t="shared" si="16"/>
        <v>1</v>
      </c>
      <c r="S651" s="240" t="str">
        <f t="shared" si="17"/>
        <v>Jan</v>
      </c>
    </row>
    <row r="652" spans="2:19" x14ac:dyDescent="0.25">
      <c r="B652" s="240" t="e">
        <f>VLOOKUP(A652,'Energy Provider Accounts'!C:F,2,FALSE)</f>
        <v>#N/A</v>
      </c>
      <c r="P652" s="310">
        <f t="shared" si="16"/>
        <v>1</v>
      </c>
      <c r="S652" s="240" t="str">
        <f t="shared" si="17"/>
        <v>Jan</v>
      </c>
    </row>
    <row r="653" spans="2:19" x14ac:dyDescent="0.25">
      <c r="B653" s="240" t="e">
        <f>VLOOKUP(A653,'Energy Provider Accounts'!C:F,2,FALSE)</f>
        <v>#N/A</v>
      </c>
      <c r="P653" s="310">
        <f t="shared" si="16"/>
        <v>1</v>
      </c>
      <c r="S653" s="240" t="str">
        <f t="shared" si="17"/>
        <v>Jan</v>
      </c>
    </row>
    <row r="654" spans="2:19" x14ac:dyDescent="0.25">
      <c r="B654" s="240" t="e">
        <f>VLOOKUP(A654,'Energy Provider Accounts'!C:F,2,FALSE)</f>
        <v>#N/A</v>
      </c>
      <c r="P654" s="310">
        <f t="shared" si="16"/>
        <v>1</v>
      </c>
      <c r="S654" s="240" t="str">
        <f t="shared" si="17"/>
        <v>Jan</v>
      </c>
    </row>
    <row r="655" spans="2:19" x14ac:dyDescent="0.25">
      <c r="B655" s="240" t="e">
        <f>VLOOKUP(A655,'Energy Provider Accounts'!C:F,2,FALSE)</f>
        <v>#N/A</v>
      </c>
      <c r="P655" s="310">
        <f t="shared" si="16"/>
        <v>1</v>
      </c>
      <c r="S655" s="240" t="str">
        <f t="shared" si="17"/>
        <v>Jan</v>
      </c>
    </row>
    <row r="656" spans="2:19" x14ac:dyDescent="0.25">
      <c r="B656" s="240" t="e">
        <f>VLOOKUP(A656,'Energy Provider Accounts'!C:F,2,FALSE)</f>
        <v>#N/A</v>
      </c>
      <c r="P656" s="310">
        <f t="shared" si="16"/>
        <v>1</v>
      </c>
      <c r="S656" s="240" t="str">
        <f t="shared" si="17"/>
        <v>Jan</v>
      </c>
    </row>
    <row r="657" spans="2:19" x14ac:dyDescent="0.25">
      <c r="B657" s="240" t="e">
        <f>VLOOKUP(A657,'Energy Provider Accounts'!C:F,2,FALSE)</f>
        <v>#N/A</v>
      </c>
      <c r="P657" s="310">
        <f t="shared" si="16"/>
        <v>1</v>
      </c>
      <c r="S657" s="240" t="str">
        <f t="shared" si="17"/>
        <v>Jan</v>
      </c>
    </row>
    <row r="658" spans="2:19" x14ac:dyDescent="0.25">
      <c r="B658" s="240" t="e">
        <f>VLOOKUP(A658,'Energy Provider Accounts'!C:F,2,FALSE)</f>
        <v>#N/A</v>
      </c>
      <c r="P658" s="310">
        <f t="shared" si="16"/>
        <v>1</v>
      </c>
      <c r="S658" s="240" t="str">
        <f t="shared" si="17"/>
        <v>Jan</v>
      </c>
    </row>
    <row r="659" spans="2:19" x14ac:dyDescent="0.25">
      <c r="B659" s="240" t="e">
        <f>VLOOKUP(A659,'Energy Provider Accounts'!C:F,2,FALSE)</f>
        <v>#N/A</v>
      </c>
      <c r="P659" s="310">
        <f t="shared" si="16"/>
        <v>1</v>
      </c>
      <c r="S659" s="240" t="str">
        <f t="shared" si="17"/>
        <v>Jan</v>
      </c>
    </row>
    <row r="660" spans="2:19" x14ac:dyDescent="0.25">
      <c r="B660" s="240" t="e">
        <f>VLOOKUP(A660,'Energy Provider Accounts'!C:F,2,FALSE)</f>
        <v>#N/A</v>
      </c>
      <c r="P660" s="310">
        <f t="shared" si="16"/>
        <v>1</v>
      </c>
      <c r="S660" s="240" t="str">
        <f t="shared" si="17"/>
        <v>Jan</v>
      </c>
    </row>
    <row r="661" spans="2:19" x14ac:dyDescent="0.25">
      <c r="B661" s="240" t="e">
        <f>VLOOKUP(A661,'Energy Provider Accounts'!C:F,2,FALSE)</f>
        <v>#N/A</v>
      </c>
      <c r="P661" s="310">
        <f t="shared" si="16"/>
        <v>1</v>
      </c>
      <c r="S661" s="240" t="str">
        <f t="shared" si="17"/>
        <v>Jan</v>
      </c>
    </row>
    <row r="662" spans="2:19" x14ac:dyDescent="0.25">
      <c r="B662" s="240" t="e">
        <f>VLOOKUP(A662,'Energy Provider Accounts'!C:F,2,FALSE)</f>
        <v>#N/A</v>
      </c>
      <c r="P662" s="310">
        <f t="shared" si="16"/>
        <v>1</v>
      </c>
      <c r="S662" s="240" t="str">
        <f t="shared" si="17"/>
        <v>Jan</v>
      </c>
    </row>
    <row r="663" spans="2:19" x14ac:dyDescent="0.25">
      <c r="B663" s="240" t="e">
        <f>VLOOKUP(A663,'Energy Provider Accounts'!C:F,2,FALSE)</f>
        <v>#N/A</v>
      </c>
      <c r="P663" s="310">
        <f t="shared" si="16"/>
        <v>1</v>
      </c>
      <c r="S663" s="240" t="str">
        <f t="shared" si="17"/>
        <v>Jan</v>
      </c>
    </row>
    <row r="664" spans="2:19" x14ac:dyDescent="0.25">
      <c r="B664" s="240" t="e">
        <f>VLOOKUP(A664,'Energy Provider Accounts'!C:F,2,FALSE)</f>
        <v>#N/A</v>
      </c>
      <c r="P664" s="310">
        <f t="shared" si="16"/>
        <v>1</v>
      </c>
      <c r="S664" s="240" t="str">
        <f t="shared" si="17"/>
        <v>Jan</v>
      </c>
    </row>
    <row r="665" spans="2:19" x14ac:dyDescent="0.25">
      <c r="B665" s="240" t="e">
        <f>VLOOKUP(A665,'Energy Provider Accounts'!C:F,2,FALSE)</f>
        <v>#N/A</v>
      </c>
      <c r="P665" s="310">
        <f t="shared" si="16"/>
        <v>1</v>
      </c>
      <c r="S665" s="240" t="str">
        <f t="shared" si="17"/>
        <v>Jan</v>
      </c>
    </row>
    <row r="666" spans="2:19" x14ac:dyDescent="0.25">
      <c r="B666" s="240" t="e">
        <f>VLOOKUP(A666,'Energy Provider Accounts'!C:F,2,FALSE)</f>
        <v>#N/A</v>
      </c>
      <c r="P666" s="310">
        <f t="shared" si="16"/>
        <v>1</v>
      </c>
      <c r="S666" s="240" t="str">
        <f t="shared" si="17"/>
        <v>Jan</v>
      </c>
    </row>
    <row r="667" spans="2:19" x14ac:dyDescent="0.25">
      <c r="B667" s="240" t="e">
        <f>VLOOKUP(A667,'Energy Provider Accounts'!C:F,2,FALSE)</f>
        <v>#N/A</v>
      </c>
      <c r="P667" s="310">
        <f t="shared" ref="P667:P730" si="18">MONTH(D667)</f>
        <v>1</v>
      </c>
      <c r="S667" s="240" t="str">
        <f t="shared" si="17"/>
        <v>Jan</v>
      </c>
    </row>
    <row r="668" spans="2:19" x14ac:dyDescent="0.25">
      <c r="B668" s="240" t="e">
        <f>VLOOKUP(A668,'Energy Provider Accounts'!C:F,2,FALSE)</f>
        <v>#N/A</v>
      </c>
      <c r="P668" s="310">
        <f t="shared" si="18"/>
        <v>1</v>
      </c>
      <c r="S668" s="240" t="str">
        <f t="shared" si="17"/>
        <v>Jan</v>
      </c>
    </row>
    <row r="669" spans="2:19" x14ac:dyDescent="0.25">
      <c r="B669" s="240" t="e">
        <f>VLOOKUP(A669,'Energy Provider Accounts'!C:F,2,FALSE)</f>
        <v>#N/A</v>
      </c>
      <c r="P669" s="310">
        <f t="shared" si="18"/>
        <v>1</v>
      </c>
      <c r="S669" s="240" t="str">
        <f t="shared" ref="S669:S732" si="19">CHOOSE(P669,"Jan","Feb","Mar","Apr","May","Jun","Jul","Aug","Sep","Oct","Nov","Dec")</f>
        <v>Jan</v>
      </c>
    </row>
    <row r="670" spans="2:19" x14ac:dyDescent="0.25">
      <c r="B670" s="240" t="e">
        <f>VLOOKUP(A670,'Energy Provider Accounts'!C:F,2,FALSE)</f>
        <v>#N/A</v>
      </c>
      <c r="P670" s="310">
        <f t="shared" si="18"/>
        <v>1</v>
      </c>
      <c r="S670" s="240" t="str">
        <f t="shared" si="19"/>
        <v>Jan</v>
      </c>
    </row>
    <row r="671" spans="2:19" x14ac:dyDescent="0.25">
      <c r="B671" s="240" t="e">
        <f>VLOOKUP(A671,'Energy Provider Accounts'!C:F,2,FALSE)</f>
        <v>#N/A</v>
      </c>
      <c r="P671" s="310">
        <f t="shared" si="18"/>
        <v>1</v>
      </c>
      <c r="S671" s="240" t="str">
        <f t="shared" si="19"/>
        <v>Jan</v>
      </c>
    </row>
    <row r="672" spans="2:19" x14ac:dyDescent="0.25">
      <c r="B672" s="240" t="e">
        <f>VLOOKUP(A672,'Energy Provider Accounts'!C:F,2,FALSE)</f>
        <v>#N/A</v>
      </c>
      <c r="P672" s="310">
        <f t="shared" si="18"/>
        <v>1</v>
      </c>
      <c r="S672" s="240" t="str">
        <f t="shared" si="19"/>
        <v>Jan</v>
      </c>
    </row>
    <row r="673" spans="2:19" x14ac:dyDescent="0.25">
      <c r="B673" s="240" t="e">
        <f>VLOOKUP(A673,'Energy Provider Accounts'!C:F,2,FALSE)</f>
        <v>#N/A</v>
      </c>
      <c r="P673" s="310">
        <f t="shared" si="18"/>
        <v>1</v>
      </c>
      <c r="S673" s="240" t="str">
        <f t="shared" si="19"/>
        <v>Jan</v>
      </c>
    </row>
    <row r="674" spans="2:19" x14ac:dyDescent="0.25">
      <c r="B674" s="240" t="e">
        <f>VLOOKUP(A674,'Energy Provider Accounts'!C:F,2,FALSE)</f>
        <v>#N/A</v>
      </c>
      <c r="P674" s="310">
        <f t="shared" si="18"/>
        <v>1</v>
      </c>
      <c r="S674" s="240" t="str">
        <f t="shared" si="19"/>
        <v>Jan</v>
      </c>
    </row>
    <row r="675" spans="2:19" x14ac:dyDescent="0.25">
      <c r="B675" s="240" t="e">
        <f>VLOOKUP(A675,'Energy Provider Accounts'!C:F,2,FALSE)</f>
        <v>#N/A</v>
      </c>
      <c r="P675" s="310">
        <f t="shared" si="18"/>
        <v>1</v>
      </c>
      <c r="S675" s="240" t="str">
        <f t="shared" si="19"/>
        <v>Jan</v>
      </c>
    </row>
    <row r="676" spans="2:19" x14ac:dyDescent="0.25">
      <c r="B676" s="240" t="e">
        <f>VLOOKUP(A676,'Energy Provider Accounts'!C:F,2,FALSE)</f>
        <v>#N/A</v>
      </c>
      <c r="P676" s="310">
        <f t="shared" si="18"/>
        <v>1</v>
      </c>
      <c r="S676" s="240" t="str">
        <f t="shared" si="19"/>
        <v>Jan</v>
      </c>
    </row>
    <row r="677" spans="2:19" x14ac:dyDescent="0.25">
      <c r="B677" s="240" t="e">
        <f>VLOOKUP(A677,'Energy Provider Accounts'!C:F,2,FALSE)</f>
        <v>#N/A</v>
      </c>
      <c r="P677" s="310">
        <f t="shared" si="18"/>
        <v>1</v>
      </c>
      <c r="S677" s="240" t="str">
        <f t="shared" si="19"/>
        <v>Jan</v>
      </c>
    </row>
    <row r="678" spans="2:19" x14ac:dyDescent="0.25">
      <c r="B678" s="240" t="e">
        <f>VLOOKUP(A678,'Energy Provider Accounts'!C:F,2,FALSE)</f>
        <v>#N/A</v>
      </c>
      <c r="P678" s="310">
        <f t="shared" si="18"/>
        <v>1</v>
      </c>
      <c r="S678" s="240" t="str">
        <f t="shared" si="19"/>
        <v>Jan</v>
      </c>
    </row>
    <row r="679" spans="2:19" x14ac:dyDescent="0.25">
      <c r="B679" s="240" t="e">
        <f>VLOOKUP(A679,'Energy Provider Accounts'!C:F,2,FALSE)</f>
        <v>#N/A</v>
      </c>
      <c r="P679" s="310">
        <f t="shared" si="18"/>
        <v>1</v>
      </c>
      <c r="S679" s="240" t="str">
        <f t="shared" si="19"/>
        <v>Jan</v>
      </c>
    </row>
    <row r="680" spans="2:19" x14ac:dyDescent="0.25">
      <c r="B680" s="240" t="e">
        <f>VLOOKUP(A680,'Energy Provider Accounts'!C:F,2,FALSE)</f>
        <v>#N/A</v>
      </c>
      <c r="P680" s="310">
        <f t="shared" si="18"/>
        <v>1</v>
      </c>
      <c r="S680" s="240" t="str">
        <f t="shared" si="19"/>
        <v>Jan</v>
      </c>
    </row>
    <row r="681" spans="2:19" x14ac:dyDescent="0.25">
      <c r="B681" s="240" t="e">
        <f>VLOOKUP(A681,'Energy Provider Accounts'!C:F,2,FALSE)</f>
        <v>#N/A</v>
      </c>
      <c r="P681" s="310">
        <f t="shared" si="18"/>
        <v>1</v>
      </c>
      <c r="S681" s="240" t="str">
        <f t="shared" si="19"/>
        <v>Jan</v>
      </c>
    </row>
    <row r="682" spans="2:19" x14ac:dyDescent="0.25">
      <c r="B682" s="240" t="e">
        <f>VLOOKUP(A682,'Energy Provider Accounts'!C:F,2,FALSE)</f>
        <v>#N/A</v>
      </c>
      <c r="P682" s="310">
        <f t="shared" si="18"/>
        <v>1</v>
      </c>
      <c r="S682" s="240" t="str">
        <f t="shared" si="19"/>
        <v>Jan</v>
      </c>
    </row>
    <row r="683" spans="2:19" x14ac:dyDescent="0.25">
      <c r="B683" s="240" t="e">
        <f>VLOOKUP(A683,'Energy Provider Accounts'!C:F,2,FALSE)</f>
        <v>#N/A</v>
      </c>
      <c r="P683" s="310">
        <f t="shared" si="18"/>
        <v>1</v>
      </c>
      <c r="S683" s="240" t="str">
        <f t="shared" si="19"/>
        <v>Jan</v>
      </c>
    </row>
    <row r="684" spans="2:19" x14ac:dyDescent="0.25">
      <c r="B684" s="240" t="e">
        <f>VLOOKUP(A684,'Energy Provider Accounts'!C:F,2,FALSE)</f>
        <v>#N/A</v>
      </c>
      <c r="P684" s="310">
        <f t="shared" si="18"/>
        <v>1</v>
      </c>
      <c r="S684" s="240" t="str">
        <f t="shared" si="19"/>
        <v>Jan</v>
      </c>
    </row>
    <row r="685" spans="2:19" x14ac:dyDescent="0.25">
      <c r="B685" s="240" t="e">
        <f>VLOOKUP(A685,'Energy Provider Accounts'!C:F,2,FALSE)</f>
        <v>#N/A</v>
      </c>
      <c r="P685" s="310">
        <f t="shared" si="18"/>
        <v>1</v>
      </c>
      <c r="S685" s="240" t="str">
        <f t="shared" si="19"/>
        <v>Jan</v>
      </c>
    </row>
    <row r="686" spans="2:19" x14ac:dyDescent="0.25">
      <c r="B686" s="240" t="e">
        <f>VLOOKUP(A686,'Energy Provider Accounts'!C:F,2,FALSE)</f>
        <v>#N/A</v>
      </c>
      <c r="P686" s="310">
        <f t="shared" si="18"/>
        <v>1</v>
      </c>
      <c r="S686" s="240" t="str">
        <f t="shared" si="19"/>
        <v>Jan</v>
      </c>
    </row>
    <row r="687" spans="2:19" x14ac:dyDescent="0.25">
      <c r="B687" s="240" t="e">
        <f>VLOOKUP(A687,'Energy Provider Accounts'!C:F,2,FALSE)</f>
        <v>#N/A</v>
      </c>
      <c r="P687" s="310">
        <f t="shared" si="18"/>
        <v>1</v>
      </c>
      <c r="S687" s="240" t="str">
        <f t="shared" si="19"/>
        <v>Jan</v>
      </c>
    </row>
    <row r="688" spans="2:19" x14ac:dyDescent="0.25">
      <c r="B688" s="240" t="e">
        <f>VLOOKUP(A688,'Energy Provider Accounts'!C:F,2,FALSE)</f>
        <v>#N/A</v>
      </c>
      <c r="P688" s="310">
        <f t="shared" si="18"/>
        <v>1</v>
      </c>
      <c r="S688" s="240" t="str">
        <f t="shared" si="19"/>
        <v>Jan</v>
      </c>
    </row>
    <row r="689" spans="2:19" x14ac:dyDescent="0.25">
      <c r="B689" s="240" t="e">
        <f>VLOOKUP(A689,'Energy Provider Accounts'!C:F,2,FALSE)</f>
        <v>#N/A</v>
      </c>
      <c r="P689" s="310">
        <f t="shared" si="18"/>
        <v>1</v>
      </c>
      <c r="S689" s="240" t="str">
        <f t="shared" si="19"/>
        <v>Jan</v>
      </c>
    </row>
    <row r="690" spans="2:19" x14ac:dyDescent="0.25">
      <c r="B690" s="240" t="e">
        <f>VLOOKUP(A690,'Energy Provider Accounts'!C:F,2,FALSE)</f>
        <v>#N/A</v>
      </c>
      <c r="P690" s="310">
        <f t="shared" si="18"/>
        <v>1</v>
      </c>
      <c r="S690" s="240" t="str">
        <f t="shared" si="19"/>
        <v>Jan</v>
      </c>
    </row>
    <row r="691" spans="2:19" x14ac:dyDescent="0.25">
      <c r="B691" s="240" t="e">
        <f>VLOOKUP(A691,'Energy Provider Accounts'!C:F,2,FALSE)</f>
        <v>#N/A</v>
      </c>
      <c r="P691" s="310">
        <f t="shared" si="18"/>
        <v>1</v>
      </c>
      <c r="S691" s="240" t="str">
        <f t="shared" si="19"/>
        <v>Jan</v>
      </c>
    </row>
    <row r="692" spans="2:19" x14ac:dyDescent="0.25">
      <c r="B692" s="240" t="e">
        <f>VLOOKUP(A692,'Energy Provider Accounts'!C:F,2,FALSE)</f>
        <v>#N/A</v>
      </c>
      <c r="P692" s="310">
        <f t="shared" si="18"/>
        <v>1</v>
      </c>
      <c r="S692" s="240" t="str">
        <f t="shared" si="19"/>
        <v>Jan</v>
      </c>
    </row>
    <row r="693" spans="2:19" x14ac:dyDescent="0.25">
      <c r="B693" s="240" t="e">
        <f>VLOOKUP(A693,'Energy Provider Accounts'!C:F,2,FALSE)</f>
        <v>#N/A</v>
      </c>
      <c r="P693" s="310">
        <f t="shared" si="18"/>
        <v>1</v>
      </c>
      <c r="S693" s="240" t="str">
        <f t="shared" si="19"/>
        <v>Jan</v>
      </c>
    </row>
    <row r="694" spans="2:19" x14ac:dyDescent="0.25">
      <c r="B694" s="240" t="e">
        <f>VLOOKUP(A694,'Energy Provider Accounts'!C:F,2,FALSE)</f>
        <v>#N/A</v>
      </c>
      <c r="P694" s="310">
        <f t="shared" si="18"/>
        <v>1</v>
      </c>
      <c r="S694" s="240" t="str">
        <f t="shared" si="19"/>
        <v>Jan</v>
      </c>
    </row>
    <row r="695" spans="2:19" x14ac:dyDescent="0.25">
      <c r="B695" s="240" t="e">
        <f>VLOOKUP(A695,'Energy Provider Accounts'!C:F,2,FALSE)</f>
        <v>#N/A</v>
      </c>
      <c r="P695" s="310">
        <f t="shared" si="18"/>
        <v>1</v>
      </c>
      <c r="S695" s="240" t="str">
        <f t="shared" si="19"/>
        <v>Jan</v>
      </c>
    </row>
    <row r="696" spans="2:19" x14ac:dyDescent="0.25">
      <c r="B696" s="240" t="e">
        <f>VLOOKUP(A696,'Energy Provider Accounts'!C:F,2,FALSE)</f>
        <v>#N/A</v>
      </c>
      <c r="P696" s="310">
        <f t="shared" si="18"/>
        <v>1</v>
      </c>
      <c r="S696" s="240" t="str">
        <f t="shared" si="19"/>
        <v>Jan</v>
      </c>
    </row>
    <row r="697" spans="2:19" x14ac:dyDescent="0.25">
      <c r="B697" s="240" t="e">
        <f>VLOOKUP(A697,'Energy Provider Accounts'!C:F,2,FALSE)</f>
        <v>#N/A</v>
      </c>
      <c r="P697" s="310">
        <f t="shared" si="18"/>
        <v>1</v>
      </c>
      <c r="S697" s="240" t="str">
        <f t="shared" si="19"/>
        <v>Jan</v>
      </c>
    </row>
    <row r="698" spans="2:19" x14ac:dyDescent="0.25">
      <c r="B698" s="240" t="e">
        <f>VLOOKUP(A698,'Energy Provider Accounts'!C:F,2,FALSE)</f>
        <v>#N/A</v>
      </c>
      <c r="P698" s="310">
        <f t="shared" si="18"/>
        <v>1</v>
      </c>
      <c r="S698" s="240" t="str">
        <f t="shared" si="19"/>
        <v>Jan</v>
      </c>
    </row>
    <row r="699" spans="2:19" x14ac:dyDescent="0.25">
      <c r="B699" s="240" t="e">
        <f>VLOOKUP(A699,'Energy Provider Accounts'!C:F,2,FALSE)</f>
        <v>#N/A</v>
      </c>
      <c r="P699" s="310">
        <f t="shared" si="18"/>
        <v>1</v>
      </c>
      <c r="S699" s="240" t="str">
        <f t="shared" si="19"/>
        <v>Jan</v>
      </c>
    </row>
    <row r="700" spans="2:19" x14ac:dyDescent="0.25">
      <c r="B700" s="240" t="e">
        <f>VLOOKUP(A700,'Energy Provider Accounts'!C:F,2,FALSE)</f>
        <v>#N/A</v>
      </c>
      <c r="P700" s="310">
        <f t="shared" si="18"/>
        <v>1</v>
      </c>
      <c r="S700" s="240" t="str">
        <f t="shared" si="19"/>
        <v>Jan</v>
      </c>
    </row>
    <row r="701" spans="2:19" x14ac:dyDescent="0.25">
      <c r="B701" s="240" t="e">
        <f>VLOOKUP(A701,'Energy Provider Accounts'!C:F,2,FALSE)</f>
        <v>#N/A</v>
      </c>
      <c r="P701" s="310">
        <f t="shared" si="18"/>
        <v>1</v>
      </c>
      <c r="S701" s="240" t="str">
        <f t="shared" si="19"/>
        <v>Jan</v>
      </c>
    </row>
    <row r="702" spans="2:19" x14ac:dyDescent="0.25">
      <c r="B702" s="240" t="e">
        <f>VLOOKUP(A702,'Energy Provider Accounts'!C:F,2,FALSE)</f>
        <v>#N/A</v>
      </c>
      <c r="P702" s="310">
        <f t="shared" si="18"/>
        <v>1</v>
      </c>
      <c r="S702" s="240" t="str">
        <f t="shared" si="19"/>
        <v>Jan</v>
      </c>
    </row>
    <row r="703" spans="2:19" x14ac:dyDescent="0.25">
      <c r="B703" s="240" t="e">
        <f>VLOOKUP(A703,'Energy Provider Accounts'!C:F,2,FALSE)</f>
        <v>#N/A</v>
      </c>
      <c r="P703" s="310">
        <f t="shared" si="18"/>
        <v>1</v>
      </c>
      <c r="S703" s="240" t="str">
        <f t="shared" si="19"/>
        <v>Jan</v>
      </c>
    </row>
    <row r="704" spans="2:19" x14ac:dyDescent="0.25">
      <c r="B704" s="240" t="e">
        <f>VLOOKUP(A704,'Energy Provider Accounts'!C:F,2,FALSE)</f>
        <v>#N/A</v>
      </c>
      <c r="P704" s="310">
        <f t="shared" si="18"/>
        <v>1</v>
      </c>
      <c r="S704" s="240" t="str">
        <f t="shared" si="19"/>
        <v>Jan</v>
      </c>
    </row>
    <row r="705" spans="2:19" x14ac:dyDescent="0.25">
      <c r="B705" s="240" t="e">
        <f>VLOOKUP(A705,'Energy Provider Accounts'!C:F,2,FALSE)</f>
        <v>#N/A</v>
      </c>
      <c r="P705" s="310">
        <f t="shared" si="18"/>
        <v>1</v>
      </c>
      <c r="S705" s="240" t="str">
        <f t="shared" si="19"/>
        <v>Jan</v>
      </c>
    </row>
    <row r="706" spans="2:19" x14ac:dyDescent="0.25">
      <c r="B706" s="240" t="e">
        <f>VLOOKUP(A706,'Energy Provider Accounts'!C:F,2,FALSE)</f>
        <v>#N/A</v>
      </c>
      <c r="P706" s="310">
        <f t="shared" si="18"/>
        <v>1</v>
      </c>
      <c r="S706" s="240" t="str">
        <f t="shared" si="19"/>
        <v>Jan</v>
      </c>
    </row>
    <row r="707" spans="2:19" x14ac:dyDescent="0.25">
      <c r="B707" s="240" t="e">
        <f>VLOOKUP(A707,'Energy Provider Accounts'!C:F,2,FALSE)</f>
        <v>#N/A</v>
      </c>
      <c r="P707" s="310">
        <f t="shared" si="18"/>
        <v>1</v>
      </c>
      <c r="S707" s="240" t="str">
        <f t="shared" si="19"/>
        <v>Jan</v>
      </c>
    </row>
    <row r="708" spans="2:19" x14ac:dyDescent="0.25">
      <c r="B708" s="240" t="e">
        <f>VLOOKUP(A708,'Energy Provider Accounts'!C:F,2,FALSE)</f>
        <v>#N/A</v>
      </c>
      <c r="P708" s="310">
        <f t="shared" si="18"/>
        <v>1</v>
      </c>
      <c r="S708" s="240" t="str">
        <f t="shared" si="19"/>
        <v>Jan</v>
      </c>
    </row>
    <row r="709" spans="2:19" x14ac:dyDescent="0.25">
      <c r="B709" s="240" t="e">
        <f>VLOOKUP(A709,'Energy Provider Accounts'!C:F,2,FALSE)</f>
        <v>#N/A</v>
      </c>
      <c r="P709" s="310">
        <f t="shared" si="18"/>
        <v>1</v>
      </c>
      <c r="S709" s="240" t="str">
        <f t="shared" si="19"/>
        <v>Jan</v>
      </c>
    </row>
    <row r="710" spans="2:19" x14ac:dyDescent="0.25">
      <c r="B710" s="240" t="e">
        <f>VLOOKUP(A710,'Energy Provider Accounts'!C:F,2,FALSE)</f>
        <v>#N/A</v>
      </c>
      <c r="P710" s="310">
        <f t="shared" si="18"/>
        <v>1</v>
      </c>
      <c r="S710" s="240" t="str">
        <f t="shared" si="19"/>
        <v>Jan</v>
      </c>
    </row>
    <row r="711" spans="2:19" x14ac:dyDescent="0.25">
      <c r="B711" s="240" t="e">
        <f>VLOOKUP(A711,'Energy Provider Accounts'!C:F,2,FALSE)</f>
        <v>#N/A</v>
      </c>
      <c r="P711" s="310">
        <f t="shared" si="18"/>
        <v>1</v>
      </c>
      <c r="S711" s="240" t="str">
        <f t="shared" si="19"/>
        <v>Jan</v>
      </c>
    </row>
    <row r="712" spans="2:19" x14ac:dyDescent="0.25">
      <c r="B712" s="240" t="e">
        <f>VLOOKUP(A712,'Energy Provider Accounts'!C:F,2,FALSE)</f>
        <v>#N/A</v>
      </c>
      <c r="P712" s="310">
        <f t="shared" si="18"/>
        <v>1</v>
      </c>
      <c r="S712" s="240" t="str">
        <f t="shared" si="19"/>
        <v>Jan</v>
      </c>
    </row>
    <row r="713" spans="2:19" x14ac:dyDescent="0.25">
      <c r="B713" s="240" t="e">
        <f>VLOOKUP(A713,'Energy Provider Accounts'!C:F,2,FALSE)</f>
        <v>#N/A</v>
      </c>
      <c r="P713" s="310">
        <f t="shared" si="18"/>
        <v>1</v>
      </c>
      <c r="S713" s="240" t="str">
        <f t="shared" si="19"/>
        <v>Jan</v>
      </c>
    </row>
    <row r="714" spans="2:19" x14ac:dyDescent="0.25">
      <c r="B714" s="240" t="e">
        <f>VLOOKUP(A714,'Energy Provider Accounts'!C:F,2,FALSE)</f>
        <v>#N/A</v>
      </c>
      <c r="P714" s="310">
        <f t="shared" si="18"/>
        <v>1</v>
      </c>
      <c r="S714" s="240" t="str">
        <f t="shared" si="19"/>
        <v>Jan</v>
      </c>
    </row>
    <row r="715" spans="2:19" x14ac:dyDescent="0.25">
      <c r="B715" s="240" t="e">
        <f>VLOOKUP(A715,'Energy Provider Accounts'!C:F,2,FALSE)</f>
        <v>#N/A</v>
      </c>
      <c r="P715" s="310">
        <f t="shared" si="18"/>
        <v>1</v>
      </c>
      <c r="S715" s="240" t="str">
        <f t="shared" si="19"/>
        <v>Jan</v>
      </c>
    </row>
    <row r="716" spans="2:19" x14ac:dyDescent="0.25">
      <c r="B716" s="240" t="e">
        <f>VLOOKUP(A716,'Energy Provider Accounts'!C:F,2,FALSE)</f>
        <v>#N/A</v>
      </c>
      <c r="P716" s="310">
        <f t="shared" si="18"/>
        <v>1</v>
      </c>
      <c r="S716" s="240" t="str">
        <f t="shared" si="19"/>
        <v>Jan</v>
      </c>
    </row>
    <row r="717" spans="2:19" x14ac:dyDescent="0.25">
      <c r="B717" s="240" t="e">
        <f>VLOOKUP(A717,'Energy Provider Accounts'!C:F,2,FALSE)</f>
        <v>#N/A</v>
      </c>
      <c r="P717" s="310">
        <f t="shared" si="18"/>
        <v>1</v>
      </c>
      <c r="S717" s="240" t="str">
        <f t="shared" si="19"/>
        <v>Jan</v>
      </c>
    </row>
    <row r="718" spans="2:19" x14ac:dyDescent="0.25">
      <c r="B718" s="240" t="e">
        <f>VLOOKUP(A718,'Energy Provider Accounts'!C:F,2,FALSE)</f>
        <v>#N/A</v>
      </c>
      <c r="P718" s="310">
        <f t="shared" si="18"/>
        <v>1</v>
      </c>
      <c r="S718" s="240" t="str">
        <f t="shared" si="19"/>
        <v>Jan</v>
      </c>
    </row>
    <row r="719" spans="2:19" x14ac:dyDescent="0.25">
      <c r="B719" s="240" t="e">
        <f>VLOOKUP(A719,'Energy Provider Accounts'!C:F,2,FALSE)</f>
        <v>#N/A</v>
      </c>
      <c r="P719" s="310">
        <f t="shared" si="18"/>
        <v>1</v>
      </c>
      <c r="S719" s="240" t="str">
        <f t="shared" si="19"/>
        <v>Jan</v>
      </c>
    </row>
    <row r="720" spans="2:19" x14ac:dyDescent="0.25">
      <c r="B720" s="240" t="e">
        <f>VLOOKUP(A720,'Energy Provider Accounts'!C:F,2,FALSE)</f>
        <v>#N/A</v>
      </c>
      <c r="P720" s="310">
        <f t="shared" si="18"/>
        <v>1</v>
      </c>
      <c r="S720" s="240" t="str">
        <f t="shared" si="19"/>
        <v>Jan</v>
      </c>
    </row>
    <row r="721" spans="2:19" x14ac:dyDescent="0.25">
      <c r="B721" s="240" t="e">
        <f>VLOOKUP(A721,'Energy Provider Accounts'!C:F,2,FALSE)</f>
        <v>#N/A</v>
      </c>
      <c r="P721" s="310">
        <f t="shared" si="18"/>
        <v>1</v>
      </c>
      <c r="S721" s="240" t="str">
        <f t="shared" si="19"/>
        <v>Jan</v>
      </c>
    </row>
    <row r="722" spans="2:19" x14ac:dyDescent="0.25">
      <c r="B722" s="240" t="e">
        <f>VLOOKUP(A722,'Energy Provider Accounts'!C:F,2,FALSE)</f>
        <v>#N/A</v>
      </c>
      <c r="P722" s="310">
        <f t="shared" si="18"/>
        <v>1</v>
      </c>
      <c r="S722" s="240" t="str">
        <f t="shared" si="19"/>
        <v>Jan</v>
      </c>
    </row>
    <row r="723" spans="2:19" x14ac:dyDescent="0.25">
      <c r="B723" s="240" t="e">
        <f>VLOOKUP(A723,'Energy Provider Accounts'!C:F,2,FALSE)</f>
        <v>#N/A</v>
      </c>
      <c r="P723" s="310">
        <f t="shared" si="18"/>
        <v>1</v>
      </c>
      <c r="S723" s="240" t="str">
        <f t="shared" si="19"/>
        <v>Jan</v>
      </c>
    </row>
    <row r="724" spans="2:19" x14ac:dyDescent="0.25">
      <c r="B724" s="240" t="e">
        <f>VLOOKUP(A724,'Energy Provider Accounts'!C:F,2,FALSE)</f>
        <v>#N/A</v>
      </c>
      <c r="P724" s="310">
        <f t="shared" si="18"/>
        <v>1</v>
      </c>
      <c r="S724" s="240" t="str">
        <f t="shared" si="19"/>
        <v>Jan</v>
      </c>
    </row>
    <row r="725" spans="2:19" x14ac:dyDescent="0.25">
      <c r="B725" s="240" t="e">
        <f>VLOOKUP(A725,'Energy Provider Accounts'!C:F,2,FALSE)</f>
        <v>#N/A</v>
      </c>
      <c r="P725" s="310">
        <f t="shared" si="18"/>
        <v>1</v>
      </c>
      <c r="S725" s="240" t="str">
        <f t="shared" si="19"/>
        <v>Jan</v>
      </c>
    </row>
    <row r="726" spans="2:19" x14ac:dyDescent="0.25">
      <c r="B726" s="240" t="e">
        <f>VLOOKUP(A726,'Energy Provider Accounts'!C:F,2,FALSE)</f>
        <v>#N/A</v>
      </c>
      <c r="P726" s="310">
        <f t="shared" si="18"/>
        <v>1</v>
      </c>
      <c r="S726" s="240" t="str">
        <f t="shared" si="19"/>
        <v>Jan</v>
      </c>
    </row>
    <row r="727" spans="2:19" x14ac:dyDescent="0.25">
      <c r="B727" s="240" t="e">
        <f>VLOOKUP(A727,'Energy Provider Accounts'!C:F,2,FALSE)</f>
        <v>#N/A</v>
      </c>
      <c r="P727" s="310">
        <f t="shared" si="18"/>
        <v>1</v>
      </c>
      <c r="S727" s="240" t="str">
        <f t="shared" si="19"/>
        <v>Jan</v>
      </c>
    </row>
    <row r="728" spans="2:19" x14ac:dyDescent="0.25">
      <c r="B728" s="240" t="e">
        <f>VLOOKUP(A728,'Energy Provider Accounts'!C:F,2,FALSE)</f>
        <v>#N/A</v>
      </c>
      <c r="P728" s="310">
        <f t="shared" si="18"/>
        <v>1</v>
      </c>
      <c r="S728" s="240" t="str">
        <f t="shared" si="19"/>
        <v>Jan</v>
      </c>
    </row>
    <row r="729" spans="2:19" x14ac:dyDescent="0.25">
      <c r="B729" s="240" t="e">
        <f>VLOOKUP(A729,'Energy Provider Accounts'!C:F,2,FALSE)</f>
        <v>#N/A</v>
      </c>
      <c r="P729" s="310">
        <f t="shared" si="18"/>
        <v>1</v>
      </c>
      <c r="S729" s="240" t="str">
        <f t="shared" si="19"/>
        <v>Jan</v>
      </c>
    </row>
    <row r="730" spans="2:19" x14ac:dyDescent="0.25">
      <c r="B730" s="240" t="e">
        <f>VLOOKUP(A730,'Energy Provider Accounts'!C:F,2,FALSE)</f>
        <v>#N/A</v>
      </c>
      <c r="P730" s="310">
        <f t="shared" si="18"/>
        <v>1</v>
      </c>
      <c r="S730" s="240" t="str">
        <f t="shared" si="19"/>
        <v>Jan</v>
      </c>
    </row>
    <row r="731" spans="2:19" x14ac:dyDescent="0.25">
      <c r="B731" s="240" t="e">
        <f>VLOOKUP(A731,'Energy Provider Accounts'!C:F,2,FALSE)</f>
        <v>#N/A</v>
      </c>
      <c r="P731" s="310">
        <f t="shared" ref="P731:P753" si="20">MONTH(D731)</f>
        <v>1</v>
      </c>
      <c r="S731" s="240" t="str">
        <f t="shared" si="19"/>
        <v>Jan</v>
      </c>
    </row>
    <row r="732" spans="2:19" x14ac:dyDescent="0.25">
      <c r="B732" s="240" t="e">
        <f>VLOOKUP(A732,'Energy Provider Accounts'!C:F,2,FALSE)</f>
        <v>#N/A</v>
      </c>
      <c r="P732" s="310">
        <f t="shared" si="20"/>
        <v>1</v>
      </c>
      <c r="S732" s="240" t="str">
        <f t="shared" si="19"/>
        <v>Jan</v>
      </c>
    </row>
    <row r="733" spans="2:19" x14ac:dyDescent="0.25">
      <c r="B733" s="240" t="e">
        <f>VLOOKUP(A733,'Energy Provider Accounts'!C:F,2,FALSE)</f>
        <v>#N/A</v>
      </c>
      <c r="P733" s="310">
        <f t="shared" si="20"/>
        <v>1</v>
      </c>
      <c r="S733" s="240" t="str">
        <f t="shared" ref="S733:S753" si="21">CHOOSE(P733,"Jan","Feb","Mar","Apr","May","Jun","Jul","Aug","Sep","Oct","Nov","Dec")</f>
        <v>Jan</v>
      </c>
    </row>
    <row r="734" spans="2:19" x14ac:dyDescent="0.25">
      <c r="B734" s="240" t="e">
        <f>VLOOKUP(A734,'Energy Provider Accounts'!C:F,2,FALSE)</f>
        <v>#N/A</v>
      </c>
      <c r="P734" s="310">
        <f t="shared" si="20"/>
        <v>1</v>
      </c>
      <c r="S734" s="240" t="str">
        <f t="shared" si="21"/>
        <v>Jan</v>
      </c>
    </row>
    <row r="735" spans="2:19" x14ac:dyDescent="0.25">
      <c r="B735" s="240" t="e">
        <f>VLOOKUP(A735,'Energy Provider Accounts'!C:F,2,FALSE)</f>
        <v>#N/A</v>
      </c>
      <c r="P735" s="310">
        <f t="shared" si="20"/>
        <v>1</v>
      </c>
      <c r="S735" s="240" t="str">
        <f t="shared" si="21"/>
        <v>Jan</v>
      </c>
    </row>
    <row r="736" spans="2:19" x14ac:dyDescent="0.25">
      <c r="B736" s="240" t="e">
        <f>VLOOKUP(A736,'Energy Provider Accounts'!C:F,2,FALSE)</f>
        <v>#N/A</v>
      </c>
      <c r="P736" s="310">
        <f t="shared" si="20"/>
        <v>1</v>
      </c>
      <c r="S736" s="240" t="str">
        <f t="shared" si="21"/>
        <v>Jan</v>
      </c>
    </row>
    <row r="737" spans="2:19" x14ac:dyDescent="0.25">
      <c r="B737" s="240" t="e">
        <f>VLOOKUP(A737,'Energy Provider Accounts'!C:F,2,FALSE)</f>
        <v>#N/A</v>
      </c>
      <c r="P737" s="310">
        <f t="shared" si="20"/>
        <v>1</v>
      </c>
      <c r="S737" s="240" t="str">
        <f t="shared" si="21"/>
        <v>Jan</v>
      </c>
    </row>
    <row r="738" spans="2:19" x14ac:dyDescent="0.25">
      <c r="B738" s="240" t="e">
        <f>VLOOKUP(A738,'Energy Provider Accounts'!C:F,2,FALSE)</f>
        <v>#N/A</v>
      </c>
      <c r="P738" s="310">
        <f t="shared" si="20"/>
        <v>1</v>
      </c>
      <c r="S738" s="240" t="str">
        <f t="shared" si="21"/>
        <v>Jan</v>
      </c>
    </row>
    <row r="739" spans="2:19" x14ac:dyDescent="0.25">
      <c r="B739" s="240" t="e">
        <f>VLOOKUP(A739,'Energy Provider Accounts'!C:F,2,FALSE)</f>
        <v>#N/A</v>
      </c>
      <c r="P739" s="310">
        <f t="shared" si="20"/>
        <v>1</v>
      </c>
      <c r="S739" s="240" t="str">
        <f t="shared" si="21"/>
        <v>Jan</v>
      </c>
    </row>
    <row r="740" spans="2:19" x14ac:dyDescent="0.25">
      <c r="B740" s="240" t="e">
        <f>VLOOKUP(A740,'Energy Provider Accounts'!C:F,2,FALSE)</f>
        <v>#N/A</v>
      </c>
      <c r="P740" s="310">
        <f t="shared" si="20"/>
        <v>1</v>
      </c>
      <c r="S740" s="240" t="str">
        <f t="shared" si="21"/>
        <v>Jan</v>
      </c>
    </row>
    <row r="741" spans="2:19" x14ac:dyDescent="0.25">
      <c r="B741" s="240" t="e">
        <f>VLOOKUP(A741,'Energy Provider Accounts'!C:F,2,FALSE)</f>
        <v>#N/A</v>
      </c>
      <c r="P741" s="310">
        <f t="shared" si="20"/>
        <v>1</v>
      </c>
      <c r="S741" s="240" t="str">
        <f t="shared" si="21"/>
        <v>Jan</v>
      </c>
    </row>
    <row r="742" spans="2:19" x14ac:dyDescent="0.25">
      <c r="B742" s="240" t="e">
        <f>VLOOKUP(A742,'Energy Provider Accounts'!C:F,2,FALSE)</f>
        <v>#N/A</v>
      </c>
      <c r="P742" s="310">
        <f t="shared" si="20"/>
        <v>1</v>
      </c>
      <c r="S742" s="240" t="str">
        <f t="shared" si="21"/>
        <v>Jan</v>
      </c>
    </row>
    <row r="743" spans="2:19" x14ac:dyDescent="0.25">
      <c r="B743" s="240" t="e">
        <f>VLOOKUP(A743,'Energy Provider Accounts'!C:F,2,FALSE)</f>
        <v>#N/A</v>
      </c>
      <c r="P743" s="310">
        <f t="shared" si="20"/>
        <v>1</v>
      </c>
      <c r="S743" s="240" t="str">
        <f t="shared" si="21"/>
        <v>Jan</v>
      </c>
    </row>
    <row r="744" spans="2:19" x14ac:dyDescent="0.25">
      <c r="B744" s="240" t="e">
        <f>VLOOKUP(A744,'Energy Provider Accounts'!C:F,2,FALSE)</f>
        <v>#N/A</v>
      </c>
      <c r="P744" s="310">
        <f t="shared" si="20"/>
        <v>1</v>
      </c>
      <c r="S744" s="240" t="str">
        <f t="shared" si="21"/>
        <v>Jan</v>
      </c>
    </row>
    <row r="745" spans="2:19" x14ac:dyDescent="0.25">
      <c r="B745" s="240" t="e">
        <f>VLOOKUP(A745,'Energy Provider Accounts'!C:F,2,FALSE)</f>
        <v>#N/A</v>
      </c>
      <c r="P745" s="310">
        <f t="shared" si="20"/>
        <v>1</v>
      </c>
      <c r="S745" s="240" t="str">
        <f t="shared" si="21"/>
        <v>Jan</v>
      </c>
    </row>
    <row r="746" spans="2:19" x14ac:dyDescent="0.25">
      <c r="B746" s="240" t="e">
        <f>VLOOKUP(A746,'Energy Provider Accounts'!C:F,2,FALSE)</f>
        <v>#N/A</v>
      </c>
      <c r="P746" s="310">
        <f t="shared" si="20"/>
        <v>1</v>
      </c>
      <c r="S746" s="240" t="str">
        <f t="shared" si="21"/>
        <v>Jan</v>
      </c>
    </row>
    <row r="747" spans="2:19" x14ac:dyDescent="0.25">
      <c r="B747" s="240" t="e">
        <f>VLOOKUP(A747,'Energy Provider Accounts'!C:F,2,FALSE)</f>
        <v>#N/A</v>
      </c>
      <c r="P747" s="310">
        <f t="shared" si="20"/>
        <v>1</v>
      </c>
      <c r="S747" s="240" t="str">
        <f t="shared" si="21"/>
        <v>Jan</v>
      </c>
    </row>
    <row r="748" spans="2:19" x14ac:dyDescent="0.25">
      <c r="B748" s="240" t="e">
        <f>VLOOKUP(A748,'Energy Provider Accounts'!C:F,2,FALSE)</f>
        <v>#N/A</v>
      </c>
      <c r="P748" s="310">
        <f t="shared" si="20"/>
        <v>1</v>
      </c>
      <c r="S748" s="240" t="str">
        <f t="shared" si="21"/>
        <v>Jan</v>
      </c>
    </row>
    <row r="749" spans="2:19" x14ac:dyDescent="0.25">
      <c r="B749" s="240" t="e">
        <f>VLOOKUP(A749,'Energy Provider Accounts'!C:F,2,FALSE)</f>
        <v>#N/A</v>
      </c>
      <c r="P749" s="310">
        <f t="shared" si="20"/>
        <v>1</v>
      </c>
      <c r="S749" s="240" t="str">
        <f t="shared" si="21"/>
        <v>Jan</v>
      </c>
    </row>
    <row r="750" spans="2:19" x14ac:dyDescent="0.25">
      <c r="B750" s="240" t="e">
        <f>VLOOKUP(A750,'Energy Provider Accounts'!C:F,2,FALSE)</f>
        <v>#N/A</v>
      </c>
      <c r="P750" s="310">
        <f t="shared" si="20"/>
        <v>1</v>
      </c>
      <c r="S750" s="240" t="str">
        <f t="shared" si="21"/>
        <v>Jan</v>
      </c>
    </row>
    <row r="751" spans="2:19" x14ac:dyDescent="0.25">
      <c r="B751" s="240" t="e">
        <f>VLOOKUP(A751,'Energy Provider Accounts'!C:F,2,FALSE)</f>
        <v>#N/A</v>
      </c>
      <c r="P751" s="310">
        <f t="shared" si="20"/>
        <v>1</v>
      </c>
      <c r="S751" s="240" t="str">
        <f t="shared" si="21"/>
        <v>Jan</v>
      </c>
    </row>
    <row r="752" spans="2:19" x14ac:dyDescent="0.25">
      <c r="B752" s="240" t="e">
        <f>VLOOKUP(A752,'Energy Provider Accounts'!C:F,2,FALSE)</f>
        <v>#N/A</v>
      </c>
      <c r="P752" s="310">
        <f t="shared" si="20"/>
        <v>1</v>
      </c>
      <c r="S752" s="240" t="str">
        <f t="shared" si="21"/>
        <v>Jan</v>
      </c>
    </row>
    <row r="753" spans="2:19" x14ac:dyDescent="0.25">
      <c r="B753" s="240" t="e">
        <f>VLOOKUP(A753,'Energy Provider Accounts'!C:F,2,FALSE)</f>
        <v>#N/A</v>
      </c>
      <c r="P753" s="310">
        <f t="shared" si="20"/>
        <v>1</v>
      </c>
      <c r="S753" s="240" t="str">
        <f t="shared" si="21"/>
        <v>Jan</v>
      </c>
    </row>
  </sheetData>
  <autoFilter ref="A1:R1" xr:uid="{9420C321-F811-4327-9F52-3F0438497474}"/>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2D104-F184-4B19-BB63-51AC183A0D03}">
  <dimension ref="B3:H35"/>
  <sheetViews>
    <sheetView tabSelected="1" workbookViewId="0">
      <selection activeCell="C29" sqref="C29"/>
    </sheetView>
  </sheetViews>
  <sheetFormatPr defaultColWidth="11.42578125" defaultRowHeight="15" x14ac:dyDescent="0.25"/>
  <cols>
    <col min="1" max="1" width="4.28515625" customWidth="1"/>
    <col min="2" max="2" width="33.5703125" customWidth="1"/>
    <col min="3" max="3" width="17.140625" customWidth="1"/>
    <col min="5" max="5" width="16.7109375" bestFit="1" customWidth="1"/>
    <col min="6" max="7" width="15.28515625" bestFit="1" customWidth="1"/>
    <col min="8" max="8" width="13.7109375" customWidth="1"/>
    <col min="14" max="14" width="16.7109375" bestFit="1" customWidth="1"/>
    <col min="15" max="15" width="15" bestFit="1" customWidth="1"/>
  </cols>
  <sheetData>
    <row r="3" spans="2:8" ht="21.75" thickBot="1" x14ac:dyDescent="0.4">
      <c r="B3" s="93" t="s">
        <v>95</v>
      </c>
    </row>
    <row r="4" spans="2:8" ht="15.75" x14ac:dyDescent="0.25">
      <c r="B4" s="168" t="s">
        <v>128</v>
      </c>
      <c r="C4" s="178" t="s">
        <v>132</v>
      </c>
    </row>
    <row r="5" spans="2:8" x14ac:dyDescent="0.25">
      <c r="B5" s="363" t="s">
        <v>94</v>
      </c>
      <c r="C5" s="363"/>
      <c r="E5" s="40" t="s">
        <v>129</v>
      </c>
      <c r="F5" s="40" t="s">
        <v>134</v>
      </c>
      <c r="G5" s="40" t="s">
        <v>146</v>
      </c>
      <c r="H5" s="40" t="s">
        <v>212</v>
      </c>
    </row>
    <row r="6" spans="2:8" x14ac:dyDescent="0.25">
      <c r="B6" s="92" t="s">
        <v>147</v>
      </c>
      <c r="C6" s="198">
        <f>VLOOKUP(C4,E6:G9,3,FALSE)</f>
        <v>134.238</v>
      </c>
      <c r="E6" s="13" t="s">
        <v>130</v>
      </c>
      <c r="F6" s="13">
        <v>465.9</v>
      </c>
      <c r="G6" s="179">
        <v>211.32</v>
      </c>
      <c r="H6" s="13">
        <v>2016</v>
      </c>
    </row>
    <row r="7" spans="2:8" x14ac:dyDescent="0.25">
      <c r="B7" s="92" t="s">
        <v>205</v>
      </c>
      <c r="C7" s="198">
        <f>'US EIA Emission Factors'!G12+('US EIA Emission Factors'!G12*0.019)</f>
        <v>54.078707441645271</v>
      </c>
      <c r="E7" s="13" t="s">
        <v>131</v>
      </c>
      <c r="F7" s="13">
        <v>637.1</v>
      </c>
      <c r="G7" s="179">
        <v>288.97699999999998</v>
      </c>
      <c r="H7" s="13">
        <v>2016</v>
      </c>
    </row>
    <row r="8" spans="2:8" x14ac:dyDescent="0.25">
      <c r="B8" s="92" t="s">
        <v>206</v>
      </c>
      <c r="C8" s="198">
        <f>'US EIA Emission Factors'!D6+('US EIA Emission Factors'!D6*0.019)</f>
        <v>5.8700819188794444</v>
      </c>
      <c r="E8" s="13" t="s">
        <v>133</v>
      </c>
      <c r="F8" s="13">
        <v>1186</v>
      </c>
      <c r="G8" s="179">
        <v>537.96199999999999</v>
      </c>
      <c r="H8" s="13">
        <v>2016</v>
      </c>
    </row>
    <row r="9" spans="2:8" x14ac:dyDescent="0.25">
      <c r="B9" s="92" t="s">
        <v>207</v>
      </c>
      <c r="C9" s="198">
        <f>'US EIA Emission Factors'!D9+('US EIA Emission Factors'!D9*0.019)</f>
        <v>10.353530313614137</v>
      </c>
      <c r="E9" s="13" t="s">
        <v>132</v>
      </c>
      <c r="F9" s="13">
        <v>295.89999999999998</v>
      </c>
      <c r="G9" s="179">
        <v>134.238</v>
      </c>
      <c r="H9" s="13">
        <v>2016</v>
      </c>
    </row>
    <row r="10" spans="2:8" x14ac:dyDescent="0.25">
      <c r="B10" s="92" t="s">
        <v>208</v>
      </c>
      <c r="C10" s="198">
        <f>'US EIA Emission Factors'!D13+('US EIA Emission Factors'!D13*0.019)</f>
        <v>9.0593390244123722</v>
      </c>
      <c r="E10" s="180"/>
      <c r="F10" s="181"/>
    </row>
    <row r="11" spans="2:8" x14ac:dyDescent="0.25">
      <c r="B11" s="180"/>
      <c r="C11" s="182"/>
    </row>
    <row r="12" spans="2:8" x14ac:dyDescent="0.25">
      <c r="B12" s="180"/>
      <c r="C12" s="181"/>
    </row>
    <row r="14" spans="2:8" x14ac:dyDescent="0.25">
      <c r="B14" s="91"/>
    </row>
    <row r="15" spans="2:8" x14ac:dyDescent="0.25">
      <c r="B15" s="91"/>
    </row>
    <row r="19" spans="2:5" x14ac:dyDescent="0.25">
      <c r="B19" s="202" t="s">
        <v>93</v>
      </c>
    </row>
    <row r="20" spans="2:5" x14ac:dyDescent="0.25">
      <c r="B20" s="183" t="s">
        <v>151</v>
      </c>
      <c r="E20" s="12"/>
    </row>
    <row r="21" spans="2:5" x14ac:dyDescent="0.25">
      <c r="B21" s="183" t="s">
        <v>152</v>
      </c>
      <c r="E21" s="12"/>
    </row>
    <row r="22" spans="2:5" x14ac:dyDescent="0.25">
      <c r="B22" s="183" t="s">
        <v>201</v>
      </c>
    </row>
    <row r="23" spans="2:5" x14ac:dyDescent="0.25">
      <c r="B23" s="183" t="s">
        <v>213</v>
      </c>
    </row>
    <row r="24" spans="2:5" x14ac:dyDescent="0.25">
      <c r="B24" s="183"/>
    </row>
    <row r="25" spans="2:5" x14ac:dyDescent="0.25">
      <c r="B25" s="85" t="s">
        <v>211</v>
      </c>
    </row>
    <row r="26" spans="2:5" x14ac:dyDescent="0.25">
      <c r="B26" s="200" t="s">
        <v>209</v>
      </c>
      <c r="C26" s="200"/>
    </row>
    <row r="27" spans="2:5" x14ac:dyDescent="0.25">
      <c r="B27" s="199" t="s">
        <v>202</v>
      </c>
      <c r="C27" s="199">
        <v>1</v>
      </c>
    </row>
    <row r="28" spans="2:5" x14ac:dyDescent="0.25">
      <c r="B28" s="199" t="s">
        <v>203</v>
      </c>
      <c r="C28" s="199">
        <v>25</v>
      </c>
    </row>
    <row r="29" spans="2:5" x14ac:dyDescent="0.25">
      <c r="B29" s="199" t="s">
        <v>204</v>
      </c>
      <c r="C29" s="199">
        <v>298</v>
      </c>
    </row>
    <row r="35" spans="2:2" x14ac:dyDescent="0.25">
      <c r="B35" s="201" t="s">
        <v>210</v>
      </c>
    </row>
  </sheetData>
  <mergeCells count="1">
    <mergeCell ref="B5:C5"/>
  </mergeCells>
  <dataValidations count="1">
    <dataValidation type="list" allowBlank="1" showInputMessage="1" showErrorMessage="1" sqref="C4" xr:uid="{6968B3EA-3B58-4795-A59D-2E9A3DF03DA7}">
      <formula1>$E$6:$E$9</formula1>
    </dataValidation>
  </dataValidations>
  <hyperlinks>
    <hyperlink ref="B20" r:id="rId1" xr:uid="{82635816-3491-4A38-BA5D-BF5304B057FE}"/>
    <hyperlink ref="B21" r:id="rId2" xr:uid="{C56E0F0F-4D99-4748-B2BB-4A3F91D33D8C}"/>
    <hyperlink ref="B22" r:id="rId3" xr:uid="{37601BAB-C5E6-4C8D-B072-505C4AF26D28}"/>
    <hyperlink ref="B35" r:id="rId4" xr:uid="{735E3718-B470-4B17-9647-CF3F2958990A}"/>
    <hyperlink ref="B23" r:id="rId5" xr:uid="{28E5D97B-7AAB-421B-A221-B1EE18319BCE}"/>
  </hyperlinks>
  <pageMargins left="0.75" right="0.75" top="1" bottom="1" header="0.5" footer="0.5"/>
  <pageSetup orientation="portrait"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CAP Score Card</vt:lpstr>
      <vt:lpstr>GHG Inventory</vt:lpstr>
      <vt:lpstr>Facility Master List</vt:lpstr>
      <vt:lpstr>Energy Provider Accounts</vt:lpstr>
      <vt:lpstr>Fleet Fuel Data</vt:lpstr>
      <vt:lpstr>Tank.Other.Fuels</vt:lpstr>
      <vt:lpstr>Central Hudson Data</vt:lpstr>
      <vt:lpstr>Factors and Sources</vt:lpstr>
      <vt:lpstr>US EIA Emission Factors</vt:lpstr>
      <vt:lpstr>'GHG Inventory'!_Hlk22291869</vt:lpstr>
      <vt:lpstr>'GHG Inventory'!_Hlk516745026</vt:lpstr>
      <vt:lpstr>'GHG Inventory'!_Hlk516745039</vt:lpstr>
      <vt:lpstr>'Facility Master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Yienger</dc:creator>
  <cp:lastModifiedBy>Kimberly Walker</cp:lastModifiedBy>
  <cp:lastPrinted>2019-04-17T21:46:22Z</cp:lastPrinted>
  <dcterms:created xsi:type="dcterms:W3CDTF">2018-05-08T14:34:52Z</dcterms:created>
  <dcterms:modified xsi:type="dcterms:W3CDTF">2020-05-28T11:56:31Z</dcterms:modified>
</cp:coreProperties>
</file>